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omments1.xml" ContentType="application/vnd.openxmlformats-officedocument.spreadsheetml.comments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2600" windowHeight="11925" tabRatio="1000"/>
  </bookViews>
  <sheets>
    <sheet name="Introduction" sheetId="19" r:id="rId1"/>
    <sheet name="Index" sheetId="3" r:id="rId2"/>
    <sheet name="1. Workforce size" sheetId="7" r:id="rId3"/>
    <sheet name="2. Demographics and workplace" sheetId="1" r:id="rId4"/>
    <sheet name="3. AOD Role" sheetId="17" r:id="rId5"/>
    <sheet name="4. Experience and qualification" sheetId="4" r:id="rId6"/>
    <sheet name="5. Skills and Training" sheetId="16" r:id="rId7"/>
    <sheet name="6. Skill shortage" sheetId="8" r:id="rId8"/>
    <sheet name="7. Staff retention" sheetId="9" r:id="rId9"/>
    <sheet name="8. Recruitment" sheetId="11" r:id="rId10"/>
    <sheet name="9. Professional development" sheetId="10" r:id="rId11"/>
  </sheets>
  <definedNames>
    <definedName name="_xlnm._FilterDatabase" localSheetId="9" hidden="1">'8. Recruitment'!$A$3:$B$4</definedName>
    <definedName name="OLE_LINK2" localSheetId="1">Index!$B$27</definedName>
    <definedName name="OLE_LINK5" localSheetId="2">'1. Workforce size'!#REF!</definedName>
    <definedName name="OLE_LINK5" localSheetId="3">'2. Demographics and workplace'!#REF!</definedName>
    <definedName name="OLE_LINK5" localSheetId="4">'3. AOD Role'!#REF!</definedName>
    <definedName name="OLE_LINK5" localSheetId="5">'4. Experience and qualification'!#REF!</definedName>
    <definedName name="OLE_LINK5" localSheetId="6">'5. Skills and Training'!#REF!</definedName>
    <definedName name="OLE_LINK5" localSheetId="7">'6. Skill shortage'!#REF!</definedName>
    <definedName name="OLE_LINK5" localSheetId="8">'7. Staff retention'!#REF!</definedName>
    <definedName name="OLE_LINK5" localSheetId="9">'8. Recruitment'!#REF!</definedName>
    <definedName name="OLE_LINK5" localSheetId="10">'9. Professional development'!#REF!</definedName>
    <definedName name="OLE_LINK6" localSheetId="2">'1. Workforce size'!#REF!</definedName>
    <definedName name="OLE_LINK6" localSheetId="3">'2. Demographics and workplace'!#REF!</definedName>
    <definedName name="OLE_LINK6" localSheetId="4">'3. AOD Role'!#REF!</definedName>
    <definedName name="OLE_LINK6" localSheetId="5">'4. Experience and qualification'!#REF!</definedName>
    <definedName name="OLE_LINK6" localSheetId="6">'5. Skills and Training'!#REF!</definedName>
    <definedName name="OLE_LINK6" localSheetId="7">'6. Skill shortage'!#REF!</definedName>
    <definedName name="OLE_LINK6" localSheetId="8">'7. Staff retention'!#REF!</definedName>
    <definedName name="OLE_LINK6" localSheetId="9">'8. Recruitment'!#REF!</definedName>
    <definedName name="OLE_LINK6" localSheetId="10">'9. Professional development'!#REF!</definedName>
    <definedName name="_xlnm.Print_Area" localSheetId="6">'5. Skills and Training'!$A$1:$D$75</definedName>
  </definedNames>
  <calcPr calcId="145621"/>
</workbook>
</file>

<file path=xl/calcChain.xml><?xml version="1.0" encoding="utf-8"?>
<calcChain xmlns="http://schemas.openxmlformats.org/spreadsheetml/2006/main">
  <c r="E103" i="4" l="1"/>
  <c r="B204" i="4" l="1"/>
  <c r="C25" i="11"/>
  <c r="C26" i="11"/>
  <c r="C27" i="11"/>
  <c r="C28" i="11"/>
  <c r="C29" i="11"/>
  <c r="C30" i="11"/>
  <c r="C31" i="11"/>
  <c r="C24" i="11"/>
  <c r="E188" i="4"/>
  <c r="D188" i="4"/>
  <c r="C188" i="4"/>
  <c r="B188" i="4"/>
  <c r="E172" i="4"/>
  <c r="D172" i="4"/>
  <c r="B172" i="4"/>
  <c r="C172" i="4" s="1"/>
  <c r="B157" i="4"/>
  <c r="C156" i="4" s="1"/>
  <c r="B86" i="1"/>
  <c r="C155" i="4" l="1"/>
  <c r="C157" i="4" s="1"/>
  <c r="C197" i="9" l="1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196" i="9"/>
  <c r="C162" i="9"/>
  <c r="C163" i="9"/>
  <c r="C164" i="9"/>
  <c r="C165" i="9"/>
  <c r="C166" i="9"/>
  <c r="C167" i="9"/>
  <c r="C168" i="9"/>
  <c r="C169" i="9"/>
  <c r="C161" i="9"/>
  <c r="B151" i="10" l="1"/>
  <c r="C151" i="10"/>
  <c r="D151" i="10"/>
  <c r="C136" i="10"/>
  <c r="B136" i="10"/>
  <c r="D136" i="10"/>
  <c r="C109" i="10" l="1"/>
  <c r="B109" i="10"/>
  <c r="D108" i="10"/>
  <c r="D107" i="10"/>
  <c r="B112" i="9" l="1"/>
  <c r="C112" i="9"/>
  <c r="F89" i="9"/>
  <c r="E89" i="9"/>
  <c r="D89" i="9"/>
  <c r="C89" i="9"/>
  <c r="B89" i="9"/>
  <c r="G89" i="9"/>
  <c r="F75" i="9"/>
  <c r="E75" i="9"/>
  <c r="D75" i="9"/>
  <c r="C75" i="9"/>
  <c r="B75" i="9"/>
  <c r="G75" i="9"/>
  <c r="F59" i="9"/>
  <c r="E59" i="9"/>
  <c r="D59" i="9"/>
  <c r="C59" i="9"/>
  <c r="B59" i="9"/>
  <c r="G59" i="9"/>
  <c r="F28" i="9"/>
  <c r="E28" i="9"/>
  <c r="D28" i="9"/>
  <c r="C28" i="9"/>
  <c r="B28" i="9"/>
  <c r="G28" i="9"/>
  <c r="F14" i="9"/>
  <c r="E14" i="9"/>
  <c r="D14" i="9"/>
  <c r="C14" i="9"/>
  <c r="B14" i="9"/>
  <c r="G14" i="9"/>
  <c r="D30" i="8"/>
  <c r="C30" i="8"/>
  <c r="B30" i="8"/>
  <c r="F9" i="8"/>
  <c r="E9" i="8"/>
  <c r="C9" i="8"/>
  <c r="B9" i="8"/>
  <c r="G7" i="8"/>
  <c r="G8" i="8"/>
  <c r="E146" i="4"/>
  <c r="E145" i="4"/>
  <c r="D147" i="4"/>
  <c r="C147" i="4"/>
  <c r="B147" i="4"/>
  <c r="D137" i="4"/>
  <c r="C137" i="4"/>
  <c r="B137" i="4"/>
  <c r="E133" i="4"/>
  <c r="E134" i="4"/>
  <c r="E135" i="4"/>
  <c r="E136" i="4"/>
  <c r="E132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11" i="4"/>
  <c r="D59" i="4"/>
  <c r="E54" i="4" s="1"/>
  <c r="C59" i="4"/>
  <c r="B59" i="4"/>
  <c r="B43" i="4"/>
  <c r="C42" i="4" s="1"/>
  <c r="C25" i="4"/>
  <c r="D25" i="4"/>
  <c r="E25" i="4"/>
  <c r="F20" i="4" s="1"/>
  <c r="B25" i="4"/>
  <c r="D9" i="4"/>
  <c r="C9" i="4"/>
  <c r="B9" i="4"/>
  <c r="E9" i="4"/>
  <c r="B165" i="17"/>
  <c r="C161" i="17" s="1"/>
  <c r="B140" i="17"/>
  <c r="C138" i="17" s="1"/>
  <c r="D130" i="17"/>
  <c r="E86" i="17"/>
  <c r="D86" i="17"/>
  <c r="C86" i="17"/>
  <c r="B86" i="17"/>
  <c r="B60" i="17"/>
  <c r="C57" i="17" s="1"/>
  <c r="B41" i="17"/>
  <c r="C38" i="17" s="1"/>
  <c r="D9" i="17"/>
  <c r="E8" i="17" s="1"/>
  <c r="C9" i="17"/>
  <c r="B9" i="17"/>
  <c r="C164" i="17" l="1"/>
  <c r="C159" i="17"/>
  <c r="C163" i="17"/>
  <c r="C158" i="17"/>
  <c r="C162" i="17"/>
  <c r="C160" i="17"/>
  <c r="G9" i="8"/>
  <c r="E137" i="4"/>
  <c r="F132" i="4" s="1"/>
  <c r="E53" i="4"/>
  <c r="E58" i="4"/>
  <c r="E52" i="4"/>
  <c r="E57" i="4"/>
  <c r="E51" i="4"/>
  <c r="E56" i="4"/>
  <c r="E55" i="4"/>
  <c r="C41" i="4"/>
  <c r="C40" i="4"/>
  <c r="F19" i="4"/>
  <c r="F23" i="4"/>
  <c r="F22" i="4"/>
  <c r="F18" i="4"/>
  <c r="F21" i="4"/>
  <c r="F17" i="4"/>
  <c r="F24" i="4"/>
  <c r="C59" i="17"/>
  <c r="C139" i="17"/>
  <c r="C140" i="17" s="1"/>
  <c r="C25" i="17"/>
  <c r="C28" i="17"/>
  <c r="C40" i="17"/>
  <c r="C19" i="17"/>
  <c r="C33" i="17"/>
  <c r="C47" i="17"/>
  <c r="C20" i="17"/>
  <c r="C35" i="17"/>
  <c r="C50" i="17"/>
  <c r="C52" i="17"/>
  <c r="C58" i="17"/>
  <c r="C54" i="17"/>
  <c r="C15" i="17"/>
  <c r="C23" i="17"/>
  <c r="C29" i="17"/>
  <c r="C36" i="17"/>
  <c r="C17" i="17"/>
  <c r="C24" i="17"/>
  <c r="C31" i="17"/>
  <c r="C39" i="17"/>
  <c r="C48" i="17"/>
  <c r="C55" i="17"/>
  <c r="C16" i="17"/>
  <c r="C21" i="17"/>
  <c r="C27" i="17"/>
  <c r="C32" i="17"/>
  <c r="C37" i="17"/>
  <c r="C46" i="17"/>
  <c r="C51" i="17"/>
  <c r="C56" i="17"/>
  <c r="E7" i="17"/>
  <c r="E9" i="17" s="1"/>
  <c r="C18" i="17"/>
  <c r="C22" i="17"/>
  <c r="C26" i="17"/>
  <c r="C30" i="17"/>
  <c r="C34" i="17"/>
  <c r="C49" i="17"/>
  <c r="C53" i="17"/>
  <c r="C165" i="17" l="1"/>
  <c r="F134" i="4"/>
  <c r="F135" i="4"/>
  <c r="F133" i="4"/>
  <c r="F136" i="4"/>
  <c r="E59" i="4"/>
  <c r="C43" i="4"/>
  <c r="F25" i="4"/>
  <c r="C60" i="17"/>
  <c r="C41" i="17"/>
  <c r="B54" i="1" l="1"/>
  <c r="B44" i="1"/>
  <c r="C42" i="1" s="1"/>
  <c r="B33" i="1"/>
  <c r="C33" i="1"/>
  <c r="E33" i="1"/>
  <c r="F33" i="1"/>
  <c r="G33" i="1"/>
  <c r="C43" i="1" l="1"/>
  <c r="C44" i="1" s="1"/>
  <c r="D36" i="7" l="1"/>
  <c r="B36" i="7"/>
  <c r="E35" i="7"/>
  <c r="C35" i="7"/>
  <c r="E34" i="7"/>
  <c r="C34" i="7"/>
  <c r="C78" i="7"/>
  <c r="F66" i="7"/>
  <c r="E66" i="7"/>
  <c r="D66" i="7"/>
  <c r="C66" i="7"/>
  <c r="B66" i="7"/>
  <c r="B56" i="7"/>
  <c r="C54" i="7" s="1"/>
  <c r="B46" i="7"/>
  <c r="C45" i="7" s="1"/>
  <c r="D26" i="7"/>
  <c r="B26" i="7"/>
  <c r="D10" i="7"/>
  <c r="E8" i="7" s="1"/>
  <c r="B10" i="7"/>
  <c r="C8" i="7" s="1"/>
  <c r="C19" i="7"/>
  <c r="C20" i="7"/>
  <c r="C21" i="7"/>
  <c r="C22" i="7"/>
  <c r="C23" i="7"/>
  <c r="C24" i="7"/>
  <c r="C25" i="7"/>
  <c r="C18" i="7"/>
  <c r="E19" i="7"/>
  <c r="E20" i="7"/>
  <c r="E21" i="7"/>
  <c r="E22" i="7"/>
  <c r="E23" i="7"/>
  <c r="E24" i="7"/>
  <c r="E25" i="7"/>
  <c r="E18" i="7"/>
  <c r="C36" i="7" l="1"/>
  <c r="E36" i="7"/>
  <c r="C55" i="7"/>
  <c r="C56" i="7" s="1"/>
  <c r="C44" i="7"/>
  <c r="C46" i="7" s="1"/>
  <c r="E26" i="7"/>
  <c r="C26" i="7"/>
  <c r="C9" i="7"/>
  <c r="C10" i="7" s="1"/>
  <c r="E9" i="7"/>
  <c r="C51" i="10" l="1"/>
  <c r="C52" i="10"/>
  <c r="C53" i="10"/>
  <c r="C54" i="10"/>
  <c r="C55" i="10"/>
  <c r="C56" i="10"/>
  <c r="C57" i="10"/>
  <c r="C58" i="10"/>
  <c r="C59" i="10"/>
  <c r="C50" i="10"/>
  <c r="D38" i="11" l="1"/>
  <c r="D39" i="11"/>
  <c r="D40" i="11"/>
  <c r="D41" i="11"/>
  <c r="D42" i="11"/>
  <c r="D43" i="11"/>
  <c r="D44" i="11"/>
  <c r="D37" i="11"/>
  <c r="H9" i="11"/>
  <c r="H10" i="11"/>
  <c r="H11" i="11"/>
  <c r="H12" i="11"/>
  <c r="H13" i="11"/>
  <c r="H14" i="11"/>
  <c r="H15" i="11"/>
  <c r="H16" i="11"/>
  <c r="H8" i="11"/>
  <c r="C148" i="9"/>
  <c r="C149" i="9"/>
  <c r="C150" i="9"/>
  <c r="C151" i="9"/>
  <c r="C152" i="9"/>
  <c r="C153" i="9"/>
  <c r="C147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E37" i="9" l="1"/>
  <c r="D17" i="8" l="1"/>
  <c r="D18" i="8"/>
  <c r="D7" i="8"/>
  <c r="E147" i="4"/>
  <c r="F137" i="4"/>
  <c r="D86" i="4"/>
  <c r="D87" i="4"/>
  <c r="D88" i="4"/>
  <c r="D89" i="4"/>
  <c r="D90" i="4"/>
  <c r="D91" i="4"/>
  <c r="D92" i="4"/>
  <c r="D93" i="4"/>
  <c r="D94" i="4"/>
  <c r="D95" i="4"/>
  <c r="D85" i="4"/>
  <c r="H28" i="1"/>
  <c r="H29" i="1"/>
  <c r="H30" i="1"/>
  <c r="H31" i="1"/>
  <c r="H32" i="1"/>
  <c r="H27" i="1"/>
  <c r="B75" i="7"/>
  <c r="B76" i="7"/>
  <c r="B77" i="7"/>
  <c r="B74" i="7"/>
  <c r="F145" i="4" l="1"/>
  <c r="F146" i="4"/>
  <c r="B78" i="7"/>
  <c r="H33" i="1"/>
  <c r="F147" i="4" l="1"/>
  <c r="E10" i="7"/>
  <c r="D27" i="1" l="1"/>
  <c r="D32" i="1"/>
  <c r="D31" i="1"/>
  <c r="D30" i="1"/>
  <c r="D29" i="1"/>
  <c r="D28" i="1"/>
  <c r="D19" i="8"/>
  <c r="C19" i="8"/>
  <c r="B19" i="8"/>
  <c r="D8" i="8"/>
  <c r="D9" i="8" s="1"/>
  <c r="D33" i="1" l="1"/>
</calcChain>
</file>

<file path=xl/comments1.xml><?xml version="1.0" encoding="utf-8"?>
<comments xmlns="http://schemas.openxmlformats.org/spreadsheetml/2006/main">
  <authors>
    <author>Sandra Kiem</author>
  </authors>
  <commentList>
    <comment ref="B7" authorId="0">
      <text>
        <r>
          <rPr>
            <b/>
            <sz val="8"/>
            <color indexed="81"/>
            <rFont val="Tahoma"/>
          </rPr>
          <t>Sandra Kiem:</t>
        </r>
        <r>
          <rPr>
            <sz val="8"/>
            <color indexed="81"/>
            <rFont val="Tahoma"/>
          </rPr>
          <t xml:space="preserve">
Head count refers to the total number of existing filled or unfilled positions (full time, part time, casual and contract) within agencies during the last pay period.</t>
        </r>
      </text>
    </comment>
    <comment ref="D7" authorId="0">
      <text>
        <r>
          <rPr>
            <b/>
            <sz val="8"/>
            <color indexed="81"/>
            <rFont val="Tahoma"/>
          </rPr>
          <t>Sandra Kiem:</t>
        </r>
        <r>
          <rPr>
            <sz val="8"/>
            <color indexed="81"/>
            <rFont val="Tahoma"/>
          </rPr>
          <t xml:space="preserve">
Equivalent Full Time - EFT refers to the total existing filled or unfilled paid roles within the agency during the last pay period.</t>
        </r>
      </text>
    </comment>
  </commentList>
</comments>
</file>

<file path=xl/sharedStrings.xml><?xml version="1.0" encoding="utf-8"?>
<sst xmlns="http://schemas.openxmlformats.org/spreadsheetml/2006/main" count="1493" uniqueCount="970">
  <si>
    <t>Table 1.1</t>
  </si>
  <si>
    <t>Source:</t>
  </si>
  <si>
    <t>Rural</t>
  </si>
  <si>
    <t>Metro</t>
  </si>
  <si>
    <t>Total</t>
  </si>
  <si>
    <t>Table 1.2</t>
  </si>
  <si>
    <t>Age group</t>
  </si>
  <si>
    <t>Male</t>
  </si>
  <si>
    <t>Male %</t>
  </si>
  <si>
    <t>Female</t>
  </si>
  <si>
    <t>Female %</t>
  </si>
  <si>
    <t>20-29</t>
  </si>
  <si>
    <t>30-39</t>
  </si>
  <si>
    <t>40-49</t>
  </si>
  <si>
    <t>50-59</t>
  </si>
  <si>
    <t>60-70</t>
  </si>
  <si>
    <t>% Metro</t>
  </si>
  <si>
    <t>Gender</t>
  </si>
  <si>
    <t>Frequency</t>
  </si>
  <si>
    <t>Table 2.1</t>
  </si>
  <si>
    <t>Age &gt;=55</t>
  </si>
  <si>
    <t>Yes</t>
  </si>
  <si>
    <t>No</t>
  </si>
  <si>
    <t>Table 2.4</t>
  </si>
  <si>
    <t>Table 2.2</t>
  </si>
  <si>
    <t>Table 2.3</t>
  </si>
  <si>
    <t>Table 3.1</t>
  </si>
  <si>
    <t>Certificate IV</t>
  </si>
  <si>
    <t>Table 3.2</t>
  </si>
  <si>
    <t>Table 3.4</t>
  </si>
  <si>
    <t>Table 4.1</t>
  </si>
  <si>
    <t>Table 4.2</t>
  </si>
  <si>
    <t>Table 5.1</t>
  </si>
  <si>
    <t>1-5 years</t>
  </si>
  <si>
    <t>5-10 years</t>
  </si>
  <si>
    <t>10-15 years</t>
  </si>
  <si>
    <t>15-20 years</t>
  </si>
  <si>
    <t>25-30 years</t>
  </si>
  <si>
    <t>less than 1 Year</t>
  </si>
  <si>
    <t>0-5 years</t>
  </si>
  <si>
    <t>&gt;20 years</t>
  </si>
  <si>
    <t>Other</t>
  </si>
  <si>
    <t>Not at all satisﬁed</t>
  </si>
  <si>
    <t>Slightly satisﬁed</t>
  </si>
  <si>
    <t>Moderately satisﬁed</t>
  </si>
  <si>
    <t>Very satisﬁed</t>
  </si>
  <si>
    <t>Extremely satisﬁed</t>
  </si>
  <si>
    <t>I wanted a career change</t>
  </si>
  <si>
    <t>Developing recovery plans with a client</t>
  </si>
  <si>
    <t>Identifying changes in physical health status</t>
  </si>
  <si>
    <t>Providing peer support</t>
  </si>
  <si>
    <t>Conducting needs assessments</t>
  </si>
  <si>
    <t>Managing client risk to self and others</t>
  </si>
  <si>
    <t>Facilitating/co-developing client advocacy</t>
  </si>
  <si>
    <t>Vocational support</t>
  </si>
  <si>
    <t>Providing social services support</t>
  </si>
  <si>
    <t>Providing community referrals</t>
  </si>
  <si>
    <t>Providing personal care support</t>
  </si>
  <si>
    <t>Providing housing support</t>
  </si>
  <si>
    <t>Mental health crisis work</t>
  </si>
  <si>
    <t>Mental health relapse prevention and self-care</t>
  </si>
  <si>
    <t>Working effectively with dual diagnosis clients</t>
  </si>
  <si>
    <t>Working effectively with youth clients</t>
  </si>
  <si>
    <t>Working effectively with clients with challenging behaviours</t>
  </si>
  <si>
    <t>Working effectively with Aboriginal and Torres Strait Islander clients</t>
  </si>
  <si>
    <t>Building and maintaining service partnerships</t>
  </si>
  <si>
    <t>Health promotion and community development</t>
  </si>
  <si>
    <t>Parenting responsibilities</t>
  </si>
  <si>
    <t>Retirement</t>
  </si>
  <si>
    <t>Returning to study</t>
  </si>
  <si>
    <t>Employment agencies</t>
  </si>
  <si>
    <t>Networking</t>
  </si>
  <si>
    <t>Graduate programs</t>
  </si>
  <si>
    <t>1-4 weeks</t>
  </si>
  <si>
    <t>5-12 weeks</t>
  </si>
  <si>
    <t>+13 weeks</t>
  </si>
  <si>
    <t>Number of agencies reported vacant position</t>
  </si>
  <si>
    <t>Table 5.2</t>
  </si>
  <si>
    <t>Applicants do not have enough relevant experience</t>
  </si>
  <si>
    <t>Applicants have inadequate training and education</t>
  </si>
  <si>
    <t>Applicants are not strongly aligned with the organisation’s values</t>
  </si>
  <si>
    <t>Applicants do not want to work in regional/rural locations</t>
  </si>
  <si>
    <t>Table 7.2</t>
  </si>
  <si>
    <t>Secondment into other roles</t>
  </si>
  <si>
    <t>Higher duties opportunities</t>
  </si>
  <si>
    <t>Flexible work arrangements</t>
  </si>
  <si>
    <t>Attractive learning and development opportunities</t>
  </si>
  <si>
    <t>Promotion into senior roles or management</t>
  </si>
  <si>
    <t>Most common methods to retain staff</t>
  </si>
  <si>
    <t>Table 3.5</t>
  </si>
  <si>
    <t>0-9</t>
  </si>
  <si>
    <t>Table 1.3</t>
  </si>
  <si>
    <t>10-19</t>
  </si>
  <si>
    <t>Note: this indicator should apply only to permanent employee.</t>
  </si>
  <si>
    <t>Table 6.3</t>
  </si>
  <si>
    <t>Table 3.3</t>
  </si>
  <si>
    <t>Major barriers from achieving recruitment outcomes</t>
  </si>
  <si>
    <t>Table 3.7</t>
  </si>
  <si>
    <t>Care coordination</t>
  </si>
  <si>
    <t>Activity</t>
  </si>
  <si>
    <t xml:space="preserve">Part 1: Demographic profile </t>
  </si>
  <si>
    <t>Part 1: Agency profile</t>
  </si>
  <si>
    <t>Part 3: Recruitment of staff</t>
  </si>
  <si>
    <t>Part 5: Retention and turnover of staff</t>
  </si>
  <si>
    <t>Employment type</t>
  </si>
  <si>
    <t>Permanent full time</t>
  </si>
  <si>
    <t>Permanent part time</t>
  </si>
  <si>
    <t>Fixed term/contractor</t>
  </si>
  <si>
    <t>Employed on a casual basis</t>
  </si>
  <si>
    <t>Table 1.4</t>
  </si>
  <si>
    <t xml:space="preserve">Top 5 personal and professional attributes agencies look for when recruiting a position </t>
  </si>
  <si>
    <t>Management skills</t>
  </si>
  <si>
    <t>Teamwork</t>
  </si>
  <si>
    <t>Relevant qualification</t>
  </si>
  <si>
    <t>Table 7.3</t>
  </si>
  <si>
    <t>Table 8.1</t>
  </si>
  <si>
    <t>Learning and development initiative/training</t>
  </si>
  <si>
    <t>Other methods agency employs to meet the learning and development requirements staff</t>
  </si>
  <si>
    <t>Table 8.2</t>
  </si>
  <si>
    <t>Table 8.3</t>
  </si>
  <si>
    <t>Low number of applicants</t>
  </si>
  <si>
    <t>-</t>
  </si>
  <si>
    <t>Location</t>
  </si>
  <si>
    <t>Method</t>
  </si>
  <si>
    <t>Total number of agencies</t>
  </si>
  <si>
    <t>Number of respondents</t>
  </si>
  <si>
    <t>% of respondents</t>
  </si>
  <si>
    <t>Satisfaction level</t>
  </si>
  <si>
    <t>Destination</t>
  </si>
  <si>
    <t>Barrier</t>
  </si>
  <si>
    <t>Table 1.5</t>
  </si>
  <si>
    <t>% All</t>
  </si>
  <si>
    <t>% Rural</t>
  </si>
  <si>
    <t>Main reasons for entering the PDRSS workforce</t>
  </si>
  <si>
    <t>Managing clients with challenging behaviours</t>
  </si>
  <si>
    <t>Working with culturally and linguistically diverse clients</t>
  </si>
  <si>
    <t>Team leadership</t>
  </si>
  <si>
    <t>Identifying changes in mental health status</t>
  </si>
  <si>
    <t>Staff management</t>
  </si>
  <si>
    <t>Table 7.4</t>
  </si>
  <si>
    <t>Unknown</t>
  </si>
  <si>
    <t>70+</t>
  </si>
  <si>
    <t>Proportion of the AOD workers who provide services in a language other than English</t>
  </si>
  <si>
    <t>AOD counsellor</t>
  </si>
  <si>
    <t>AOD worker - general</t>
  </si>
  <si>
    <t>Forensic AOD worker</t>
  </si>
  <si>
    <t>Service manager</t>
  </si>
  <si>
    <t>AOD case manager</t>
  </si>
  <si>
    <t>Youth worker</t>
  </si>
  <si>
    <t>Team leader</t>
  </si>
  <si>
    <t>Researcher</t>
  </si>
  <si>
    <t>AOD youth consultant</t>
  </si>
  <si>
    <t>Koori AOD worker; Koori drug diversion worker; Koori AOD resource service worker; Aboriginal health worker</t>
  </si>
  <si>
    <t>Trainer/Educator</t>
  </si>
  <si>
    <t>Needle and syringe program worker</t>
  </si>
  <si>
    <t>Welfare worker</t>
  </si>
  <si>
    <t>Social worker</t>
  </si>
  <si>
    <t>Family therapist</t>
  </si>
  <si>
    <t>Duty/Triage/Intake worker</t>
  </si>
  <si>
    <t>Dual diagnosis worker</t>
  </si>
  <si>
    <t>Peer support worker (paid position)</t>
  </si>
  <si>
    <t>AOD crisis care worker</t>
  </si>
  <si>
    <t>Unpaid volunteer</t>
  </si>
  <si>
    <t>Nurse</t>
  </si>
  <si>
    <t>Other activity</t>
  </si>
  <si>
    <t>Survey respondents' main AOD service type</t>
  </si>
  <si>
    <t>Aboriginal and Torres Strait Islander services</t>
  </si>
  <si>
    <t>Adult services</t>
  </si>
  <si>
    <t>Dual diagnosis services</t>
  </si>
  <si>
    <t>Early intervention/prevention</t>
  </si>
  <si>
    <t>Family services</t>
  </si>
  <si>
    <t>Forensic services</t>
  </si>
  <si>
    <t>Men’s services</t>
  </si>
  <si>
    <t>Older adults/Elderly adult AOD services</t>
  </si>
  <si>
    <t>Residential</t>
  </si>
  <si>
    <t>Women’s services</t>
  </si>
  <si>
    <t>Youth</t>
  </si>
  <si>
    <t>Service Type</t>
  </si>
  <si>
    <t xml:space="preserve"> Total</t>
  </si>
  <si>
    <t>60-69</t>
  </si>
  <si>
    <t>70-79</t>
  </si>
  <si>
    <t>80-89</t>
  </si>
  <si>
    <t>90-100</t>
  </si>
  <si>
    <t>Proportion of time spent on direct clinical activities (%)</t>
  </si>
  <si>
    <t>Female (n=417)</t>
  </si>
  <si>
    <t>Male (n=211)</t>
  </si>
  <si>
    <t>Proportion of time workers spend on direct clinical activities</t>
  </si>
  <si>
    <t>Metro (n=560)</t>
  </si>
  <si>
    <t>Rural (n=222)</t>
  </si>
  <si>
    <t>Unknown (n=33)</t>
  </si>
  <si>
    <t>Bachelor</t>
  </si>
  <si>
    <t>Certificate III</t>
  </si>
  <si>
    <t>Diploma</t>
  </si>
  <si>
    <t>Graduate Certificate</t>
  </si>
  <si>
    <t>Graduate Diploma</t>
  </si>
  <si>
    <t>Master</t>
  </si>
  <si>
    <t>Qualification specialising in AOD/Addiction Studies</t>
  </si>
  <si>
    <t>Australia</t>
  </si>
  <si>
    <t>Overseas</t>
  </si>
  <si>
    <t>Certificate II</t>
  </si>
  <si>
    <t>6 .5 Years</t>
  </si>
  <si>
    <t>4.0 years</t>
  </si>
  <si>
    <t>Table 3.6</t>
  </si>
  <si>
    <t>Currently Enrolled</t>
  </si>
  <si>
    <t>Table 3.8</t>
  </si>
  <si>
    <t>Highest health, social or behavioural science qualification</t>
  </si>
  <si>
    <t>Completed</t>
  </si>
  <si>
    <t>Currently enrolled</t>
  </si>
  <si>
    <t>Advanced Diploma</t>
  </si>
  <si>
    <t>Bachelor Degree</t>
  </si>
  <si>
    <t>Honours Degree</t>
  </si>
  <si>
    <t>Masters</t>
  </si>
  <si>
    <t>Table 3.9</t>
  </si>
  <si>
    <t xml:space="preserve">Metro </t>
  </si>
  <si>
    <t>Unit Code</t>
  </si>
  <si>
    <t>Unit Description</t>
  </si>
  <si>
    <t>CHCAOD201D</t>
  </si>
  <si>
    <t>CHCAOD2C/402B</t>
  </si>
  <si>
    <t>CHCAOD6B/CHCAOD406E</t>
  </si>
  <si>
    <t>Prepare for alcohol and other drugs work</t>
  </si>
  <si>
    <t>Orientation to the AOD sector/Work effectively in the AOD sector</t>
  </si>
  <si>
    <t>Work with clients who are intoxicated</t>
  </si>
  <si>
    <t>CHCAOD67C/CHCAOD407E</t>
  </si>
  <si>
    <t>Provide needle and syringe services</t>
  </si>
  <si>
    <t>CHCAOD8C/CHCAOD408B</t>
  </si>
  <si>
    <t>Assess the needs of clients who have AOD issues</t>
  </si>
  <si>
    <t>CHCAOD9C/CHCAOD4092</t>
  </si>
  <si>
    <t>Provide AOD withdrawal services</t>
  </si>
  <si>
    <t>CHCAOD10A</t>
  </si>
  <si>
    <t>Work with clients who have AOD issues</t>
  </si>
  <si>
    <t>CHCAOD11A/CHCAOD411A</t>
  </si>
  <si>
    <t>Provide advanced interventions to meet the needs of clients with AOD issues</t>
  </si>
  <si>
    <t xml:space="preserve">CHCMH401A </t>
  </si>
  <si>
    <t>Work effectively in mental health settings</t>
  </si>
  <si>
    <t xml:space="preserve">CHCAOD510B </t>
  </si>
  <si>
    <t>Work effectively with clients with complex AOD issues</t>
  </si>
  <si>
    <t>CHCAOD511C</t>
  </si>
  <si>
    <t>CHCAOD512B</t>
  </si>
  <si>
    <t>Develop and implement a behaviour response plan</t>
  </si>
  <si>
    <t>CHCAOD513A</t>
  </si>
  <si>
    <t>Provide relapse prevention strategies</t>
  </si>
  <si>
    <t>How well respondents believe their formal qualifications have prepared them for their current AOD role</t>
  </si>
  <si>
    <t>Extremely well prepared</t>
  </si>
  <si>
    <t>Moderately well prepared</t>
  </si>
  <si>
    <t>Not at all well prepared</t>
  </si>
  <si>
    <t>Slightly well prepared</t>
  </si>
  <si>
    <t>Somewhat well prepared</t>
  </si>
  <si>
    <t>Department of Health Accreditation to work with forensic clients</t>
  </si>
  <si>
    <t>Top five skills workers think are important to them undertaking their current role most effectively, and whether they feel they need further training</t>
  </si>
  <si>
    <t>Skill</t>
  </si>
  <si>
    <t>Need further Training</t>
  </si>
  <si>
    <t>Conflict management</t>
  </si>
  <si>
    <t>Developing policies/procedures/work manuals</t>
  </si>
  <si>
    <t>Exploring with clients their understanding of their problems and strengths</t>
  </si>
  <si>
    <t>Working with families and carers of clients</t>
  </si>
  <si>
    <t>Leadership skills and knowledge</t>
  </si>
  <si>
    <t>Managing change</t>
  </si>
  <si>
    <t>Managing staff performance</t>
  </si>
  <si>
    <t>Organisational risk assessments</t>
  </si>
  <si>
    <t>Providing inter-agency services and care coordination</t>
  </si>
  <si>
    <t>Providing or facilitating peer support opportunities</t>
  </si>
  <si>
    <t>Providing staff supervision</t>
  </si>
  <si>
    <t>Providing team leadership</t>
  </si>
  <si>
    <t>Working effectively with clients who have experienced trauma</t>
  </si>
  <si>
    <t>Working effectively with disability clients</t>
  </si>
  <si>
    <t>Working with multidisciplinary teams</t>
  </si>
  <si>
    <t>Additional work related training priorities</t>
  </si>
  <si>
    <t>Change management</t>
  </si>
  <si>
    <t>Communication skills</t>
  </si>
  <si>
    <t>Communications and media</t>
  </si>
  <si>
    <t>Culture change</t>
  </si>
  <si>
    <t>Data analysis</t>
  </si>
  <si>
    <t>Evidence based service delivery models</t>
  </si>
  <si>
    <t>Financial management</t>
  </si>
  <si>
    <t>First aid</t>
  </si>
  <si>
    <t>Leadership training</t>
  </si>
  <si>
    <t>Mental health first aid</t>
  </si>
  <si>
    <t>Minimum qualifications</t>
  </si>
  <si>
    <t>Organisational management</t>
  </si>
  <si>
    <t>Outcome measurement</t>
  </si>
  <si>
    <t>Policy skills</t>
  </si>
  <si>
    <t>Preparing for reform</t>
  </si>
  <si>
    <t>Program evaluation</t>
  </si>
  <si>
    <t>Project management</t>
  </si>
  <si>
    <t>Quality improvement</t>
  </si>
  <si>
    <t>Research methods</t>
  </si>
  <si>
    <t>Specific skill development</t>
  </si>
  <si>
    <t>Submission writing</t>
  </si>
  <si>
    <t>Supervision skills</t>
  </si>
  <si>
    <t>Web based service delivery</t>
  </si>
  <si>
    <t>Total department funded EFT</t>
  </si>
  <si>
    <t>Vacancy EFT</t>
  </si>
  <si>
    <t>Vacancy rate by EFT</t>
  </si>
  <si>
    <t>Total department funded headcount</t>
  </si>
  <si>
    <t>Vacancy by headcount</t>
  </si>
  <si>
    <t>Vacancy rate by headcount</t>
  </si>
  <si>
    <t>Total (n=81)</t>
  </si>
  <si>
    <t>Female (n=560)</t>
  </si>
  <si>
    <t>Male (n=255)</t>
  </si>
  <si>
    <t>6-10 years</t>
  </si>
  <si>
    <t>11-15 years</t>
  </si>
  <si>
    <t>16-20 years</t>
  </si>
  <si>
    <t>21-25 years</t>
  </si>
  <si>
    <t>20+ years</t>
  </si>
  <si>
    <t>AOD service experience</t>
  </si>
  <si>
    <t>Length of time employed by current organisation by AOD sector experience</t>
  </si>
  <si>
    <t>Table 6.2</t>
  </si>
  <si>
    <t>1st role in AOD</t>
  </si>
  <si>
    <t>Not the 1st role in AOD</t>
  </si>
  <si>
    <t>Intention 12 months</t>
  </si>
  <si>
    <t>Leave the sector with no intention to return</t>
  </si>
  <si>
    <t>Continue working in my current role</t>
  </si>
  <si>
    <t>Decrease my working hours</t>
  </si>
  <si>
    <t>Increase my working hours</t>
  </si>
  <si>
    <t>Leave the sector with a view to returning at a later time</t>
  </si>
  <si>
    <t>Move horizontally into another AOD role</t>
  </si>
  <si>
    <t>Seek promotional opportunities within the sector</t>
  </si>
  <si>
    <t>Total (n=815)</t>
  </si>
  <si>
    <t>Intention 3 years</t>
  </si>
  <si>
    <t>I acquired an AOD or related qualification</t>
  </si>
  <si>
    <t>I was attracted by the values of the AOD sector or the agency</t>
  </si>
  <si>
    <t>I have a lived experience of AOD issues and wanted to part of the AOD sector</t>
  </si>
  <si>
    <t>Personal reasons</t>
  </si>
  <si>
    <t>Opportunities in the allied health sector</t>
  </si>
  <si>
    <t>Opportunities in the AOD Sector</t>
  </si>
  <si>
    <t>Opportunities in child protection sector</t>
  </si>
  <si>
    <t>Opportunities in disability sector</t>
  </si>
  <si>
    <t>Opportunities in employment sector</t>
  </si>
  <si>
    <t>Opportunities in housing sector</t>
  </si>
  <si>
    <t>Opportunities in justice sector</t>
  </si>
  <si>
    <t>Opportunities in mental health sector</t>
  </si>
  <si>
    <t>Opportunities in private practice</t>
  </si>
  <si>
    <t>Opportunities in youth sector</t>
  </si>
  <si>
    <t>Relocation interstate</t>
  </si>
  <si>
    <t>Relocation overseas</t>
  </si>
  <si>
    <t>Unsure of reason</t>
  </si>
  <si>
    <t>Dismissal</t>
  </si>
  <si>
    <t>Expiry of contract</t>
  </si>
  <si>
    <t>Main reasons for entering the AOD workforce</t>
  </si>
  <si>
    <t xml:space="preserve">Most common destinations for resigned AOD worker </t>
  </si>
  <si>
    <t>Competitive Salaries</t>
  </si>
  <si>
    <t>% of agencies (n=76)</t>
  </si>
  <si>
    <t>Print Advertising</t>
  </si>
  <si>
    <t>Not effective at all</t>
  </si>
  <si>
    <t>Marginally effective</t>
  </si>
  <si>
    <t>Effective</t>
  </si>
  <si>
    <t>Very effective</t>
  </si>
  <si>
    <t>Extremely Effective</t>
  </si>
  <si>
    <t>Don't use</t>
  </si>
  <si>
    <t>Average score</t>
  </si>
  <si>
    <t>Online advertising</t>
  </si>
  <si>
    <t>Social media</t>
  </si>
  <si>
    <t>Secondments</t>
  </si>
  <si>
    <t>Volunteers</t>
  </si>
  <si>
    <t>Casuals</t>
  </si>
  <si>
    <t>Applicants do not have enough relevant work experience</t>
  </si>
  <si>
    <t>Insufficient remuneration</t>
  </si>
  <si>
    <t>Stigma associated with the AOD sector</t>
  </si>
  <si>
    <t>Not applicable - agency does not experience any difficulties</t>
  </si>
  <si>
    <t>Total (n=77)</t>
  </si>
  <si>
    <t>Rural (n=30)</t>
  </si>
  <si>
    <t>Metro (n=47)</t>
  </si>
  <si>
    <t>Number of agencies that cited this reason (of 77 agencies)</t>
  </si>
  <si>
    <t>% of agencies (n=77)</t>
  </si>
  <si>
    <t>Working with dual diagnosis clients</t>
  </si>
  <si>
    <t>Administration</t>
  </si>
  <si>
    <t>Cultural competence</t>
  </si>
  <si>
    <t>Risk management</t>
  </si>
  <si>
    <t>Working with families/carers of clients</t>
  </si>
  <si>
    <t>Staff supervision</t>
  </si>
  <si>
    <t>Working with Indigenous clients</t>
  </si>
  <si>
    <t>Working with dual disability clients</t>
  </si>
  <si>
    <t>Working with youth clients</t>
  </si>
  <si>
    <t>Top 5 difficult to replace skills or abilities</t>
  </si>
  <si>
    <t>Skill or ability</t>
  </si>
  <si>
    <t>Experience working in mental health sector</t>
  </si>
  <si>
    <t>Experience working in the alcohol and drug sector</t>
  </si>
  <si>
    <t>Interpersonal and communication skills</t>
  </si>
  <si>
    <t>Leadership skills</t>
  </si>
  <si>
    <t>Other relevant experience</t>
  </si>
  <si>
    <t>Personal qualities</t>
  </si>
  <si>
    <t>Planning and organisational skills</t>
  </si>
  <si>
    <t>Relevant knowledge and skills</t>
  </si>
  <si>
    <t>Values and attitudes</t>
  </si>
  <si>
    <t>Personal or professional attribute</t>
  </si>
  <si>
    <t>Table 7.5</t>
  </si>
  <si>
    <t>Top 5 personal and professional attributes agencies look for when recruiting a vacant AOD manager position</t>
  </si>
  <si>
    <t>Agency (Q21)</t>
  </si>
  <si>
    <t>Increasing OH&amp;S awareness</t>
  </si>
  <si>
    <t>Providing clinical supervision</t>
  </si>
  <si>
    <t>Working with challenging clients</t>
  </si>
  <si>
    <t>Working with complexity</t>
  </si>
  <si>
    <t>Developing suicide and self harm management skills</t>
  </si>
  <si>
    <t>Working with Aboriginal people</t>
  </si>
  <si>
    <t>Writing case notes</t>
  </si>
  <si>
    <t>Developing counselling skills</t>
  </si>
  <si>
    <t>Developing management skills</t>
  </si>
  <si>
    <t>Working with CALD people</t>
  </si>
  <si>
    <t>Working with children and families</t>
  </si>
  <si>
    <t>Working with diversity</t>
  </si>
  <si>
    <t>Developing motivational interviewing skills</t>
  </si>
  <si>
    <t>Providing trauma informed care</t>
  </si>
  <si>
    <t>Training in a practice or service delivery model</t>
  </si>
  <si>
    <t>Developing recovery plans</t>
  </si>
  <si>
    <t>Responding to family violence</t>
  </si>
  <si>
    <t>Responding to sexual assault</t>
  </si>
  <si>
    <t>Agency does not provide internal learning and development activities</t>
  </si>
  <si>
    <t>Other activities and further comments</t>
  </si>
  <si>
    <t>Backfilling positions to allow for staff to attend professional development activities</t>
  </si>
  <si>
    <t>Payment of travel and accommodation</t>
  </si>
  <si>
    <t>Payment of registration fees for professional development activities</t>
  </si>
  <si>
    <t>Time release for professional development activities</t>
  </si>
  <si>
    <t>Number of staff requests</t>
  </si>
  <si>
    <t>Requests</t>
  </si>
  <si>
    <t>Declines</t>
  </si>
  <si>
    <t>Number of staff requests to attend learning and development activities, and agency declines</t>
  </si>
  <si>
    <t>Table 8.4</t>
  </si>
  <si>
    <t>The staff member has filled with agency's allocated professional development quota for the year</t>
  </si>
  <si>
    <t>The requested learning and development activity is not part of the staff member's professional development plan</t>
  </si>
  <si>
    <t>The agency does not have the budget to support staff with the requested learning and development activity</t>
  </si>
  <si>
    <t>The agency can not afford to have staff out of the office due to service demand</t>
  </si>
  <si>
    <t>Table 8.5</t>
  </si>
  <si>
    <t>Clinical supervision</t>
  </si>
  <si>
    <t>Counselling skills</t>
  </si>
  <si>
    <t>Crisis management</t>
  </si>
  <si>
    <t>Providing brief interventions</t>
  </si>
  <si>
    <t>Providing inter-agency service and care coordination</t>
  </si>
  <si>
    <t>Suicide and self harm management</t>
  </si>
  <si>
    <t>Understanding emerging drug trends</t>
  </si>
  <si>
    <t>Working effectively with carers/families of clients</t>
  </si>
  <si>
    <t>Working effectively with dual disability clients</t>
  </si>
  <si>
    <t>Working effectively with forensic clients</t>
  </si>
  <si>
    <t>Working with specific cohorts</t>
  </si>
  <si>
    <t>Internal learning and development offerings by agencies to further develop staff</t>
  </si>
  <si>
    <t>Agency's forecasted top 5 learning and development priorities for client service staff over the next three years</t>
  </si>
  <si>
    <t xml:space="preserve">0-5 </t>
  </si>
  <si>
    <t xml:space="preserve">6-10 </t>
  </si>
  <si>
    <t xml:space="preserve">11-15 </t>
  </si>
  <si>
    <t xml:space="preserve">16-20 </t>
  </si>
  <si>
    <t xml:space="preserve">21-30 </t>
  </si>
  <si>
    <t xml:space="preserve">More than 30 days </t>
  </si>
  <si>
    <t>Days</t>
  </si>
  <si>
    <t>Metro (n=46)</t>
  </si>
  <si>
    <t>Total (n=76)</t>
  </si>
  <si>
    <t>Days of clinical supervision per EFT provided to staff with direct care responsibilities</t>
  </si>
  <si>
    <t>Name of the organisation where you work</t>
  </si>
  <si>
    <t>Year of Birth</t>
  </si>
  <si>
    <t>Country of Birth</t>
  </si>
  <si>
    <t>If you are working in Australia on a temporary visa (including an occupational trainee visa), how long (in months) before your current visa expires</t>
  </si>
  <si>
    <t>Are you an Australian Citizen?</t>
  </si>
  <si>
    <t>Part 2: The AOD workplace</t>
  </si>
  <si>
    <t>Post code of the head office of your main place of work</t>
  </si>
  <si>
    <t>Post code of main work site/branch</t>
  </si>
  <si>
    <t>Primary Victorian Government funded activity</t>
  </si>
  <si>
    <t>Part 3: The AOD role</t>
  </si>
  <si>
    <t>Proportion of time spent on direct clinical activities</t>
  </si>
  <si>
    <t>Breakdown of time spent on direct clinical activities</t>
  </si>
  <si>
    <t>Breakdown of time spent on non-direct clinical activities</t>
  </si>
  <si>
    <t>Employment Status</t>
  </si>
  <si>
    <t>Hours worked in other paid role</t>
  </si>
  <si>
    <t>Sector of other paid work</t>
  </si>
  <si>
    <t>Provision of AOD services in a language other than English</t>
  </si>
  <si>
    <t>Part 4: The AOD experience</t>
  </si>
  <si>
    <t>First role in AOD</t>
  </si>
  <si>
    <t>State or Territory of commencement of work in AOD</t>
  </si>
  <si>
    <t>Mediums to find work in AOD</t>
  </si>
  <si>
    <t>Previous role</t>
  </si>
  <si>
    <t>Sector of work prior to joining the AOD sector</t>
  </si>
  <si>
    <t>Main reasons for entering AOD workforce</t>
  </si>
  <si>
    <t>Part 5: Qualifications</t>
  </si>
  <si>
    <t>Location of educational institution where highest AOD/Addiction studies qualification was completed</t>
  </si>
  <si>
    <t>Completion of Community Services Training Package</t>
  </si>
  <si>
    <t>Units of competency from the Community Services Training Package completed</t>
  </si>
  <si>
    <t>How well formal qualification prepared respondents for AOD role</t>
  </si>
  <si>
    <t>Department of Health accreditation to work with forensic clients</t>
  </si>
  <si>
    <t>Top five skills important to undertaking current role most effectively, and whether or not further training is needed</t>
  </si>
  <si>
    <t>Part 7: Satisfaction with current employment and future work plans</t>
  </si>
  <si>
    <t>Satisfaction with current employment</t>
  </si>
  <si>
    <t>Career plans over the next 12 months</t>
  </si>
  <si>
    <t>Career plans over the next 3 years</t>
  </si>
  <si>
    <t>Age intending to exit completely from work within the AOD sector</t>
  </si>
  <si>
    <t>Agency name</t>
  </si>
  <si>
    <t>Postcode of agency's head office</t>
  </si>
  <si>
    <t>Role within agency</t>
  </si>
  <si>
    <t>Name of person responsible for completing this survey</t>
  </si>
  <si>
    <t>Contact phone number</t>
  </si>
  <si>
    <t>Contact email address</t>
  </si>
  <si>
    <t>Name of person responsible for sign off</t>
  </si>
  <si>
    <t>Total AOD EFT for agency by funding source</t>
  </si>
  <si>
    <t>Total AOD headcount by funding source</t>
  </si>
  <si>
    <t>Breakdown of the headcount of Victorian Government funded AOD staff</t>
  </si>
  <si>
    <t>Part 2: Staff profile</t>
  </si>
  <si>
    <t>EFT for Victorian Government funded activities</t>
  </si>
  <si>
    <t>Headcount for Victorian Government funded activities</t>
  </si>
  <si>
    <t>Number of volunteers and student placements</t>
  </si>
  <si>
    <t>Recruitment methods</t>
  </si>
  <si>
    <t>Personal and professional attributes when recruiting AOD workers</t>
  </si>
  <si>
    <t>Personal and professional attributes when recruiting AOD managers</t>
  </si>
  <si>
    <t>Skills or abilities agencies find difficult to replace</t>
  </si>
  <si>
    <t>Factors preventing agencies from achieving desired recruitment outcomes</t>
  </si>
  <si>
    <t>Average time taken to fill vacancies</t>
  </si>
  <si>
    <t>Further comments about challenges in recruitment</t>
  </si>
  <si>
    <t>Part 4: Professional development of staff</t>
  </si>
  <si>
    <t>Forecasted learning and development priorities for Victorian Government funded AOD managers over the next three years</t>
  </si>
  <si>
    <t>Internal learning and development activities provided by agencies to further develop the AOD workforce</t>
  </si>
  <si>
    <t>Other learning and development opportunities provided by agencies</t>
  </si>
  <si>
    <t>Staff requests to attend learning and development activities</t>
  </si>
  <si>
    <t>Declines to staff requests to attend learning and development activities</t>
  </si>
  <si>
    <t>Incentives used to retain staff</t>
  </si>
  <si>
    <t>Departures by headcount and EFT</t>
  </si>
  <si>
    <t>Common reasons for resignations</t>
  </si>
  <si>
    <t>Other feedback</t>
  </si>
  <si>
    <t>Funding Source</t>
  </si>
  <si>
    <t>EFT</t>
  </si>
  <si>
    <t>Victorian Department of Health</t>
  </si>
  <si>
    <t>Australian Government NGOTGP</t>
  </si>
  <si>
    <t>Australian Government SMSDGF</t>
  </si>
  <si>
    <t>FaHCSIA</t>
  </si>
  <si>
    <t>Victorian Department of Justice</t>
  </si>
  <si>
    <t>Philanthropic</t>
  </si>
  <si>
    <t>Fundraising</t>
  </si>
  <si>
    <t>Headcount</t>
  </si>
  <si>
    <t>% of total EFT</t>
  </si>
  <si>
    <t xml:space="preserve"> </t>
  </si>
  <si>
    <t>Relevant tables</t>
  </si>
  <si>
    <t>Table 1.6</t>
  </si>
  <si>
    <t>Table 1.7</t>
  </si>
  <si>
    <t>Table 1.8</t>
  </si>
  <si>
    <t>Code</t>
  </si>
  <si>
    <t>ACCO Services - Drug Services</t>
  </si>
  <si>
    <t>Adult Residential Drug Withdrawal</t>
  </si>
  <si>
    <t>Adult Residential Rehabilitation</t>
  </si>
  <si>
    <t>Alcohol &amp; Drug Supported Accommodation</t>
  </si>
  <si>
    <t>Alcohol Information-Advice and Interventions</t>
  </si>
  <si>
    <t>Ante &amp; Post Natal Support</t>
  </si>
  <si>
    <t>Capacity Building</t>
  </si>
  <si>
    <t>Client Information and Support</t>
  </si>
  <si>
    <t>COATS Post Sentence</t>
  </si>
  <si>
    <t>Counselling Consultancy and Continuing Care</t>
  </si>
  <si>
    <t>Diversion Programs</t>
  </si>
  <si>
    <t>Education &amp; Training</t>
  </si>
  <si>
    <t>Family Counselling</t>
  </si>
  <si>
    <t>Forensic Adult Residential Drug Withdrawal</t>
  </si>
  <si>
    <t>Forensic Adult Residential Rehabilitation</t>
  </si>
  <si>
    <t>Forensic Alcohol and Drug Supported Accommodation</t>
  </si>
  <si>
    <t>Forensic Koori Community AOD Worker</t>
  </si>
  <si>
    <t>Forensic Youth Outreach</t>
  </si>
  <si>
    <t>Forensic Youth Residential Drug Withdrawal</t>
  </si>
  <si>
    <t>Forensic Youth Residential Rehabilitation</t>
  </si>
  <si>
    <t>Home-based Withdrawal</t>
  </si>
  <si>
    <t>Homeless and Drug Dependency Capacity Building</t>
  </si>
  <si>
    <t>Intensive Community Rehabilitation</t>
  </si>
  <si>
    <t>Koori Community Alcohol and Drug Worker</t>
  </si>
  <si>
    <t>Local Initiatives</t>
  </si>
  <si>
    <t>Mobile Drug Safety</t>
  </si>
  <si>
    <t>Mobile Overdose Response</t>
  </si>
  <si>
    <t>Needle &amp; Syringe Program</t>
  </si>
  <si>
    <t>Outdoor Therapy</t>
  </si>
  <si>
    <t>Outpatient Withdrawal</t>
  </si>
  <si>
    <t>Parent Support Program</t>
  </si>
  <si>
    <t>Peer Support</t>
  </si>
  <si>
    <t>Pharmacotherapy regional outreach</t>
  </si>
  <si>
    <t>Post Residential Workers</t>
  </si>
  <si>
    <t>Professional Development</t>
  </si>
  <si>
    <t>Research, Service Development, Evaluation</t>
  </si>
  <si>
    <t>Rural Withdrawal</t>
  </si>
  <si>
    <t>Specialist Pharmacotherapy Program</t>
  </si>
  <si>
    <t>Targeted Interventions</t>
  </si>
  <si>
    <t>Therapeutic Counselling</t>
  </si>
  <si>
    <t>Women's Alcohol and Drug Supported Accommodation</t>
  </si>
  <si>
    <t>Youth Alcohol and Drug Supported Accommodation</t>
  </si>
  <si>
    <t>Youth Day Program</t>
  </si>
  <si>
    <t>Youth Home-based Withdrawal</t>
  </si>
  <si>
    <t>Youth Outreach</t>
  </si>
  <si>
    <t>Youth Residential Drug Withdrawal</t>
  </si>
  <si>
    <t>% total headcount</t>
  </si>
  <si>
    <t xml:space="preserve">   Eastern Metro</t>
  </si>
  <si>
    <t xml:space="preserve">   North and West Metro</t>
  </si>
  <si>
    <t xml:space="preserve">   Southern Metro</t>
  </si>
  <si>
    <t xml:space="preserve">   Barwon-South Western</t>
  </si>
  <si>
    <t xml:space="preserve">   Gippsland</t>
  </si>
  <si>
    <t xml:space="preserve">   Grampians</t>
  </si>
  <si>
    <t xml:space="preserve">   Hume</t>
  </si>
  <si>
    <t xml:space="preserve">   Loddon Mallee</t>
  </si>
  <si>
    <t>Region</t>
  </si>
  <si>
    <t>27%</t>
  </si>
  <si>
    <t>23%</t>
  </si>
  <si>
    <t>24%</t>
  </si>
  <si>
    <t>34%</t>
  </si>
  <si>
    <t>12%</t>
  </si>
  <si>
    <t>% Unknown location</t>
  </si>
  <si>
    <t>46</t>
  </si>
  <si>
    <t>45</t>
  </si>
  <si>
    <t>44</t>
  </si>
  <si>
    <t>Psychologist</t>
  </si>
  <si>
    <t>Medical practitioner</t>
  </si>
  <si>
    <t>Time per week workers work in their AOD role</t>
  </si>
  <si>
    <t>Column1</t>
  </si>
  <si>
    <t>Hours worked per week</t>
  </si>
  <si>
    <t>Metro (n=435)</t>
  </si>
  <si>
    <t>Rural (n=187)</t>
  </si>
  <si>
    <t>Total number of AOD volunteers by region</t>
  </si>
  <si>
    <t>Total number of student placements by region</t>
  </si>
  <si>
    <t>Agency AOD staffing numbers by department-funded EFT and region</t>
  </si>
  <si>
    <t>0-9 AOD EFT</t>
  </si>
  <si>
    <t>10-19 AOD EFT</t>
  </si>
  <si>
    <t>20-29 AOD EFT</t>
  </si>
  <si>
    <t>30-39 AOD EFT</t>
  </si>
  <si>
    <t>&gt;40 AOD EFT</t>
  </si>
  <si>
    <t>Rural (n=33)</t>
  </si>
  <si>
    <t>Metro (n=48)</t>
  </si>
  <si>
    <t>Total number of AOD workers by region</t>
  </si>
  <si>
    <t>Total number of AOD workers by funding source</t>
  </si>
  <si>
    <t>Victorian department of health funded AOD workers by region</t>
  </si>
  <si>
    <t>Victorian-Government funded AOD workers by employment type</t>
  </si>
  <si>
    <t>EFT and headcount breakdown for Victorian Government funded workers by activity</t>
  </si>
  <si>
    <t>Primary place of work for AOD workers by region and gender</t>
  </si>
  <si>
    <t>Gender of AOD workers</t>
  </si>
  <si>
    <t>Unknown location (n=33)</t>
  </si>
  <si>
    <t>% total</t>
  </si>
  <si>
    <t>% total (n=815)</t>
  </si>
  <si>
    <t>Casual</t>
  </si>
  <si>
    <t>Fixed term full time</t>
  </si>
  <si>
    <t>Fixed term part time</t>
  </si>
  <si>
    <t>Total (n=622)</t>
  </si>
  <si>
    <t>AOD worker employment status by region</t>
  </si>
  <si>
    <t>Participation in other paid work outside of the AOD sector</t>
  </si>
  <si>
    <t>Average hours worked per week in other paid role</t>
  </si>
  <si>
    <t>Sector of employment in other paid work (outside of the AOD sector)</t>
  </si>
  <si>
    <t>Child protection, family support, out-of-home care</t>
  </si>
  <si>
    <t>Clinical mental health</t>
  </si>
  <si>
    <t>Disability</t>
  </si>
  <si>
    <t>Non-related to health and welfare sector (e.g. private sector)</t>
  </si>
  <si>
    <t>PDRSS</t>
  </si>
  <si>
    <t>Private practice</t>
  </si>
  <si>
    <t>Sector</t>
  </si>
  <si>
    <t>Metro (n=404)</t>
  </si>
  <si>
    <t>Rural (n=174)</t>
  </si>
  <si>
    <t>Unknown location (n=5)</t>
  </si>
  <si>
    <t>Total (n=583)</t>
  </si>
  <si>
    <t>AOD qualification in which worker is currently enrolled</t>
  </si>
  <si>
    <t>AOD workers with formal health, social or behavioural science qualification</t>
  </si>
  <si>
    <t>Qualification</t>
  </si>
  <si>
    <t>PhD/Post doctorate</t>
  </si>
  <si>
    <t>Table 4.3</t>
  </si>
  <si>
    <t>Table 4.4</t>
  </si>
  <si>
    <t>Table 4.5</t>
  </si>
  <si>
    <t>Table 4.6</t>
  </si>
  <si>
    <t>Table 4.7</t>
  </si>
  <si>
    <t>Table 4.8</t>
  </si>
  <si>
    <t>Table 4.9</t>
  </si>
  <si>
    <t>Satisfaction rating</t>
  </si>
  <si>
    <t>Table 4.10</t>
  </si>
  <si>
    <t>Table 4.11</t>
  </si>
  <si>
    <t>Table 4.12</t>
  </si>
  <si>
    <t>Table 6.1</t>
  </si>
  <si>
    <t>Agency survey (Q2, Q11 and Q12)</t>
  </si>
  <si>
    <t>Agency survey (Q11 and Q12)</t>
  </si>
  <si>
    <t>Agency survey (Q2 and Q17)</t>
  </si>
  <si>
    <t>Agency survey (Q2 and Q15)</t>
  </si>
  <si>
    <t>Agency survey (Q13)</t>
  </si>
  <si>
    <t>Agency survey (Q15 and Q16)</t>
  </si>
  <si>
    <t>Worker survey (Q9, Q10 and Q17)</t>
  </si>
  <si>
    <t>Worker survey (Q18)</t>
  </si>
  <si>
    <t>Worker survey (Q19)</t>
  </si>
  <si>
    <t>Worker survey (Q47)</t>
  </si>
  <si>
    <t>Worker survey (Q48)</t>
  </si>
  <si>
    <t>Current vacancies by region</t>
  </si>
  <si>
    <t>Time taken to fill vacancies by region</t>
  </si>
  <si>
    <t>Metro (n=376)</t>
  </si>
  <si>
    <t>Rural (n=161)</t>
  </si>
  <si>
    <t>Male (n=183)</t>
  </si>
  <si>
    <t>Female (n=359)</t>
  </si>
  <si>
    <t>Male (n=196)</t>
  </si>
  <si>
    <t>Female (n=391)</t>
  </si>
  <si>
    <t>Rural (n=176)</t>
  </si>
  <si>
    <t>Metro (n=406)</t>
  </si>
  <si>
    <t xml:space="preserve">Table 7.1 </t>
  </si>
  <si>
    <t>Male (n=189)</t>
  </si>
  <si>
    <t>Female (n=379)</t>
  </si>
  <si>
    <t>Total (n=568)</t>
  </si>
  <si>
    <t>Rural (n=169)</t>
  </si>
  <si>
    <t>Metro (n=394)</t>
  </si>
  <si>
    <t>Career plan in the next 12 months by gender and region</t>
  </si>
  <si>
    <t>Career plan in the next 3 years by gender and region</t>
  </si>
  <si>
    <t>Worker survey (Q2, Q9, Q10 and Q51)</t>
  </si>
  <si>
    <t>Worker survey (Q2, Q9, Q10 and Q50)</t>
  </si>
  <si>
    <t>Worker survey (Q22, Q23)</t>
  </si>
  <si>
    <t>Worker survey (Q2, Q9, Q10 and Q24)</t>
  </si>
  <si>
    <t>Worker survey (Q2, Q9, Q10 and Q22)</t>
  </si>
  <si>
    <t>Table 7.6</t>
  </si>
  <si>
    <t>Table 7.7</t>
  </si>
  <si>
    <t>Table 7.8</t>
  </si>
  <si>
    <t>Total department-funded headcount</t>
  </si>
  <si>
    <t>Worker survey (Q30)</t>
  </si>
  <si>
    <t>Agency survey (Q16 and Q31)</t>
  </si>
  <si>
    <t>Table 7.9</t>
  </si>
  <si>
    <t>Table 7.10</t>
  </si>
  <si>
    <t>Length of time employed at current organisation</t>
  </si>
  <si>
    <t>Agency survey (Q19)</t>
  </si>
  <si>
    <t>Agency survey (Q23)</t>
  </si>
  <si>
    <t>Agency survey (Q20)</t>
  </si>
  <si>
    <t>Agency survey (Q22)</t>
  </si>
  <si>
    <t>Agency survey (Q27)</t>
  </si>
  <si>
    <t>Agency survey (Q28)</t>
  </si>
  <si>
    <t>Agency survey (Q29)</t>
  </si>
  <si>
    <t>Table 9.1</t>
  </si>
  <si>
    <t>Table 9.2</t>
  </si>
  <si>
    <t>Table 9.3</t>
  </si>
  <si>
    <t>Table 9.4</t>
  </si>
  <si>
    <t>Table 9.5</t>
  </si>
  <si>
    <t>Table 9.6</t>
  </si>
  <si>
    <t>Table 9.7</t>
  </si>
  <si>
    <t>Table 9.8</t>
  </si>
  <si>
    <t>Agency survey (Q30)</t>
  </si>
  <si>
    <t>% declines</t>
  </si>
  <si>
    <t>Agency survey (Q36)</t>
  </si>
  <si>
    <t>Departures from Victorian government funded AOD positions</t>
  </si>
  <si>
    <t>Applicants are not strongly aligned with the organisation's values</t>
  </si>
  <si>
    <t>Stigma associated with AOD sector</t>
  </si>
  <si>
    <t>Table 7.11</t>
  </si>
  <si>
    <t>Top attributes when recruiting to vacant AOD worker position</t>
  </si>
  <si>
    <t>Agency survey (Q20 and Q21)</t>
  </si>
  <si>
    <t>Agency Survey (Q29)</t>
  </si>
  <si>
    <t>Internal learning and development activity</t>
  </si>
  <si>
    <t>Table 7.12</t>
  </si>
  <si>
    <t>Table 7.13</t>
  </si>
  <si>
    <t>Table 2.5</t>
  </si>
  <si>
    <t>Australian-born</t>
  </si>
  <si>
    <t>Overseas-born</t>
  </si>
  <si>
    <t>Workers survey (Q4, Q5)</t>
  </si>
  <si>
    <t>Australian Citizen</t>
  </si>
  <si>
    <t>Total (n=814)</t>
  </si>
  <si>
    <t>Worker survey (Q6)</t>
  </si>
  <si>
    <t>Worker survey (Q2, Q9 and Q10)</t>
  </si>
  <si>
    <t>Worker survey (Q2, Q3, Q9 and Q10)</t>
  </si>
  <si>
    <t>Worker survey (Q2)</t>
  </si>
  <si>
    <t>Worker survey (Q11)</t>
  </si>
  <si>
    <t>Worker survey (Q12)</t>
  </si>
  <si>
    <t>Worker survey (Q9, Q10 and Q31)</t>
  </si>
  <si>
    <t>Worker survey (Q9, Q10 and Q32)</t>
  </si>
  <si>
    <t>Worker survey (Q33)</t>
  </si>
  <si>
    <t>Worker survey (Q34)</t>
  </si>
  <si>
    <t>Worker survey (Q38)</t>
  </si>
  <si>
    <t>Worker survey (Q41)</t>
  </si>
  <si>
    <t>Worker survey (Q42)</t>
  </si>
  <si>
    <t>Worker survey (Q9, Q10 and Q45)</t>
  </si>
  <si>
    <t>Prefer not to identify</t>
  </si>
  <si>
    <t>Aboriginal or Torres Strait Islander background</t>
  </si>
  <si>
    <t>Table 2.6</t>
  </si>
  <si>
    <t>Table 2.7</t>
  </si>
  <si>
    <t>Source</t>
  </si>
  <si>
    <t>Citizenship status</t>
  </si>
  <si>
    <t>Citizenship</t>
  </si>
  <si>
    <t>Not Australian Citizen</t>
  </si>
  <si>
    <t xml:space="preserve">   Permanent resident</t>
  </si>
  <si>
    <t>Breakdown of average proportion of time spent on direct clinical activities</t>
  </si>
  <si>
    <t>Worker survey (Q15)</t>
  </si>
  <si>
    <t>Direct clinical activity</t>
  </si>
  <si>
    <t>Intake</t>
  </si>
  <si>
    <t>Assessment</t>
  </si>
  <si>
    <t>Care planning</t>
  </si>
  <si>
    <t>Provision of treatment, support and care</t>
  </si>
  <si>
    <t>Follow-up and post care</t>
  </si>
  <si>
    <t>Receiving and providing secondary consultation</t>
  </si>
  <si>
    <t>Care coordination, including referral</t>
  </si>
  <si>
    <t>Case review</t>
  </si>
  <si>
    <t>Average proportion of direct clinical activity time</t>
  </si>
  <si>
    <t>Breakdown of average proportion of time spent on non-direct clinical activities</t>
  </si>
  <si>
    <t>Worker survey (Q16)</t>
  </si>
  <si>
    <t>Non-direct clinical activity</t>
  </si>
  <si>
    <t>Administration (including data entry and meetings)</t>
  </si>
  <si>
    <t>Conducting research/clinical trials</t>
  </si>
  <si>
    <t>Delivering clinical supervision</t>
  </si>
  <si>
    <t>Delivering professional development and training</t>
  </si>
  <si>
    <t>Managing staff</t>
  </si>
  <si>
    <t>Other organisational processes (e.g. quality, service planning or reporting)</t>
  </si>
  <si>
    <t>Participating in research/clinical trials</t>
  </si>
  <si>
    <t>Receiving clinical supervision</t>
  </si>
  <si>
    <t>Receiving professional development/training</t>
  </si>
  <si>
    <t>Average proportion of non-direct clinical activity time</t>
  </si>
  <si>
    <t>Table 3.10</t>
  </si>
  <si>
    <t>Table 3.11</t>
  </si>
  <si>
    <t>Table 4.13</t>
  </si>
  <si>
    <t>Accredited to work with forensic clients</t>
  </si>
  <si>
    <t>Worker survey (Q22)</t>
  </si>
  <si>
    <t>Table 4.14</t>
  </si>
  <si>
    <t>Less than one year</t>
  </si>
  <si>
    <t>26-30 years</t>
  </si>
  <si>
    <t>Unknown location</t>
  </si>
  <si>
    <t>More than 30 years</t>
  </si>
  <si>
    <t>Length of time (years) in current organisation</t>
  </si>
  <si>
    <t>AOD service Experience</t>
  </si>
  <si>
    <t>Worker survey (Q9, Q10 and Q23)</t>
  </si>
  <si>
    <t>Worker survey (Q9, Q10 and Q24)</t>
  </si>
  <si>
    <t>Years AOD service experience</t>
  </si>
  <si>
    <t>Years in current organisation</t>
  </si>
  <si>
    <t>Total (n=587)</t>
  </si>
  <si>
    <t>Table 4.15</t>
  </si>
  <si>
    <t>VAADA Enews</t>
  </si>
  <si>
    <t>Mediums used by workers to find work in the AOD sector</t>
  </si>
  <si>
    <t>Worker survey (Q26)</t>
  </si>
  <si>
    <t>Facebook</t>
  </si>
  <si>
    <t>Twitter</t>
  </si>
  <si>
    <t>Linkedin</t>
  </si>
  <si>
    <t>Other social media</t>
  </si>
  <si>
    <t>Online advertisements</t>
  </si>
  <si>
    <t>Print Advertisements</t>
  </si>
  <si>
    <t>Recruitment agencies</t>
  </si>
  <si>
    <t>% total (n=602)</t>
  </si>
  <si>
    <t>Table 8.6</t>
  </si>
  <si>
    <t>Table 4.16</t>
  </si>
  <si>
    <t>State or territory of commencement of work in AOD</t>
  </si>
  <si>
    <t>Worker Survey (Q25)</t>
  </si>
  <si>
    <t>State/Territory</t>
  </si>
  <si>
    <t>Australian Capital Territory</t>
  </si>
  <si>
    <t>New South Wales</t>
  </si>
  <si>
    <t>Northern Territory</t>
  </si>
  <si>
    <t>Queensland</t>
  </si>
  <si>
    <t>South Australia</t>
  </si>
  <si>
    <t>Tasmania</t>
  </si>
  <si>
    <t>Victoria</t>
  </si>
  <si>
    <t>Western Australia</t>
  </si>
  <si>
    <t>% total (n=609)</t>
  </si>
  <si>
    <t>Working outside the AOD sector</t>
  </si>
  <si>
    <t>Working within the AOD sector in another organisation</t>
  </si>
  <si>
    <t>Student</t>
  </si>
  <si>
    <t>Student placement</t>
  </si>
  <si>
    <t>Volunteer within the AOD sector</t>
  </si>
  <si>
    <t>Table 4.17</t>
  </si>
  <si>
    <t>Worker survey (Q27)</t>
  </si>
  <si>
    <t>Previous Role</t>
  </si>
  <si>
    <t>Child protection</t>
  </si>
  <si>
    <t>Education</t>
  </si>
  <si>
    <t>Employment services</t>
  </si>
  <si>
    <t>Haven't worked in any other sector</t>
  </si>
  <si>
    <t>Health</t>
  </si>
  <si>
    <t>Housing</t>
  </si>
  <si>
    <t>Justice</t>
  </si>
  <si>
    <t>Private sector</t>
  </si>
  <si>
    <t>Sexual health</t>
  </si>
  <si>
    <t>Table 4.18</t>
  </si>
  <si>
    <t>Previous sector of employment</t>
  </si>
  <si>
    <t>Table 4.19</t>
  </si>
  <si>
    <t>Employed previously in sector that support work in current AOD role</t>
  </si>
  <si>
    <t>Worker survey (Q28)</t>
  </si>
  <si>
    <t>Worker survey (Q29)</t>
  </si>
  <si>
    <t>Previously worked in sectors outside of AOD that support work in current AOD role</t>
  </si>
  <si>
    <t>% total (n=94)</t>
  </si>
  <si>
    <t>Worker Survey (Q52)</t>
  </si>
  <si>
    <t>Table 7.14</t>
  </si>
  <si>
    <t>Age workers are intending to exit completely from work within AOD sector</t>
  </si>
  <si>
    <t>25-34</t>
  </si>
  <si>
    <t>35-44</t>
  </si>
  <si>
    <t>45-54</t>
  </si>
  <si>
    <t>55-64</t>
  </si>
  <si>
    <t>65-74</t>
  </si>
  <si>
    <t>75-84</t>
  </si>
  <si>
    <t>Age intending to exit</t>
  </si>
  <si>
    <t>Table 1.9</t>
  </si>
  <si>
    <t>% female</t>
  </si>
  <si>
    <t>Average proportion of Victorian Government funded AOD staff are female</t>
  </si>
  <si>
    <t>Table 1.10</t>
  </si>
  <si>
    <t>Agency Survey (Q18)</t>
  </si>
  <si>
    <t>Number of staff who hold Department of Health accreditation to work with forensic clients</t>
  </si>
  <si>
    <t>Number of staff who old Department of Health accreditation to work with forensic clients</t>
  </si>
  <si>
    <t>Agency's forecasted top 5 learning and development priorities for managers over the next three years</t>
  </si>
  <si>
    <t>1.4, 1.5</t>
  </si>
  <si>
    <t>Are you of Aboriginal or Torres Strait Islander background?</t>
  </si>
  <si>
    <t>Total amount of time (hours) per week worked in AOD</t>
  </si>
  <si>
    <t>Participation in other paid work, outside of the AOD sector, that supports you to undertake your current AOD role?</t>
  </si>
  <si>
    <t>Years of AOD service experience</t>
  </si>
  <si>
    <t>Previously worked in sectors outside of AOD that support current AOD role</t>
  </si>
  <si>
    <t>Percentage of Victorian Government funded AOD staff are female</t>
  </si>
  <si>
    <t>Number of staff who currently hold Department of Health accreditation to work with forensic clients</t>
  </si>
  <si>
    <t>Number of current vacancies by headcount and EFT for Victorian Government funded positions</t>
  </si>
  <si>
    <t>Reasons why requests for learning and development activities were not supported</t>
  </si>
  <si>
    <t>Days of learning and development activities provided per EFT</t>
  </si>
  <si>
    <t>Days of clinical supervision for staff with direct care responsibilities per EFT</t>
  </si>
  <si>
    <t>Do you have permanent resident status in Australia?</t>
  </si>
  <si>
    <t>Employment status in current main AOD role</t>
  </si>
  <si>
    <t>Length of time employed in current organisation</t>
  </si>
  <si>
    <t>Name, suburb and state of educational institution where highest AOD/Addiction studies qualification was completed</t>
  </si>
  <si>
    <t>Commencement year of current enrolment</t>
  </si>
  <si>
    <t>Location of educational institution of current enrolment</t>
  </si>
  <si>
    <t>Name, suburb and state of educational institution of current enrolment</t>
  </si>
  <si>
    <t>Forensic Counselling Consultancy Cont. Care</t>
  </si>
  <si>
    <t>Reasons why staff requests to attend learning and developing activities were not supported</t>
  </si>
  <si>
    <t>Days of learning development activities provided by agencies per EFT</t>
  </si>
  <si>
    <t>Working effectively with culturally and linguistically diverse clients</t>
  </si>
  <si>
    <t>Aboriginal and Torres Strait Islander background</t>
  </si>
  <si>
    <t>Provision of service in a language other than English</t>
  </si>
  <si>
    <t>Average of length of time since completed AOD/Addiction studies Qualification</t>
  </si>
  <si>
    <t>Community Services Training Package Units completed</t>
  </si>
  <si>
    <t>Proportion of agencies which have  a current vacancy</t>
  </si>
  <si>
    <t>Length of time worker employed in current organisation by gender and by region</t>
  </si>
  <si>
    <t>Departures by headcount</t>
  </si>
  <si>
    <t>% total (n=554)</t>
  </si>
  <si>
    <t>% total EFT</t>
  </si>
  <si>
    <t>Acquired brain injury clinical consultant</t>
  </si>
  <si>
    <t>Other service type</t>
  </si>
  <si>
    <t>Mean (hours)</t>
  </si>
  <si>
    <t>Median (hours)</t>
  </si>
  <si>
    <t>%  total</t>
  </si>
  <si>
    <t>Nominated in top 5</t>
  </si>
  <si>
    <t>Length of time in current role</t>
  </si>
  <si>
    <t>% total (n=587)</t>
  </si>
  <si>
    <t>% total  (n=76)</t>
  </si>
  <si>
    <t>% total (n=76)</t>
  </si>
  <si>
    <t>Worker questionnaire – Victorian AOD workforce survey 2013</t>
  </si>
  <si>
    <t>Agency questionnaire – Victorian AOD  workforce survey 2013</t>
  </si>
  <si>
    <t>Main AOD service type</t>
  </si>
  <si>
    <t>Sex</t>
  </si>
  <si>
    <t>Formal qualification specialising in AOD/addiction studies</t>
  </si>
  <si>
    <t>Highest AOD/addiction studies qualification</t>
  </si>
  <si>
    <t>Year highest AOD/addiction studies qualification was completed</t>
  </si>
  <si>
    <t>Current enrolment in a formal qualification specialising in AOD/addiction studies</t>
  </si>
  <si>
    <t>Description of current enrolment specialising in AOD/addiction studies</t>
  </si>
  <si>
    <t>Formal health, social or behavioural science qualification not specific to AOD/addiction studies</t>
  </si>
  <si>
    <t>Description of health, social or behavioural science qualification not specific to AOD/addiction studies</t>
  </si>
  <si>
    <t>Part 6: Skills and training</t>
  </si>
  <si>
    <t>Forecasted learning and development priorities for Victorian Government funded AOD staff over the next three years</t>
  </si>
  <si>
    <t>2013 AOD workforce survey aggregate report</t>
  </si>
  <si>
    <t>Total headcount</t>
  </si>
  <si>
    <t>Agency Survey (Q2 and Q14)</t>
  </si>
  <si>
    <t>AOD worker age distribution by region and gender</t>
  </si>
  <si>
    <t>Average age of AOD worker by region and gender</t>
  </si>
  <si>
    <t>Worker survey (Q3, Q9 and Q10)</t>
  </si>
  <si>
    <t>Country of birth and Citizenship</t>
  </si>
  <si>
    <t>Worker survey (Q5 and A7)</t>
  </si>
  <si>
    <t>Worker survey (Q9, Q10 and Q21)</t>
  </si>
  <si>
    <t>Activitiesin which respondents work</t>
  </si>
  <si>
    <t>Culturally and linguistically diverse services</t>
  </si>
  <si>
    <t>Worker survey (Q2 and Q13)</t>
  </si>
  <si>
    <t>Worker survey (Q9, Q10 and Q14)</t>
  </si>
  <si>
    <t>AOD workers with formal qualification specialising in AOD/addiction studies</t>
  </si>
  <si>
    <t>Highest AOD/addiction studies qualification by location</t>
  </si>
  <si>
    <t xml:space="preserve">No </t>
  </si>
  <si>
    <t>Year highest qualification specialising in AOD/addiction studies was completed</t>
  </si>
  <si>
    <t>Location of educational institution where specialist AOD/addiction qualification was completed</t>
  </si>
  <si>
    <t>Worker survey (Q9, Q10, Q36 and Q37)</t>
  </si>
  <si>
    <t>Average of length of time  since started qualification</t>
  </si>
  <si>
    <t>AOD workers currently enrolled in a formal qualification specialising in AOD/addiction studies</t>
  </si>
  <si>
    <t>For those who are currently enrolled in a formal qualification specialising in AOD/addiction studies, number of years since commencement of qualification</t>
  </si>
  <si>
    <t>AOD workers with a formal health, social or behavioural science qualification that is not specific to AOD/addiction studies</t>
  </si>
  <si>
    <t>Completed four core units  of competency from the Community Services Training Package</t>
  </si>
  <si>
    <t>Worker survey (Q9, Q10 and Q43)</t>
  </si>
  <si>
    <t>Workers completed at least one AOD/addiction studies specific units of competency from the Community Services Training Package</t>
  </si>
  <si>
    <t>Worker survey (Q9, Q10 and Q44)</t>
  </si>
  <si>
    <t>Worker survey (Q9, Q10 and Q46)</t>
  </si>
  <si>
    <t>Agency survey (Q2, Q8 and Q15)</t>
  </si>
  <si>
    <t>% agency had vacancy</t>
  </si>
  <si>
    <t>Agency (Q2 and Q16)</t>
  </si>
  <si>
    <t>% metro agencies (n = 48)</t>
  </si>
  <si>
    <t>% rural agencies (n = 33)</t>
  </si>
  <si>
    <t>Job satisfaction level by gender and region</t>
  </si>
  <si>
    <t>AOD service by gender and region</t>
  </si>
  <si>
    <t>Agency survey (Q2 and Q38)</t>
  </si>
  <si>
    <t>Worker survey (Q2 and Q49)</t>
  </si>
  <si>
    <t>Number of agencies that cited this reason</t>
  </si>
  <si>
    <t>Most common methods for recruiting new AOD staff members and effectiveness rating</t>
  </si>
  <si>
    <t>Medium</t>
  </si>
  <si>
    <t>Major barriers preventing achievement of recruitment outcomes</t>
  </si>
  <si>
    <t>Top 5 personal and professional attributes agencies look for when recruiting a vacant AOD worker position</t>
  </si>
  <si>
    <t>Agency survey (Q2 and Q33)</t>
  </si>
  <si>
    <t>Agency survey (Q31 and Q32)</t>
  </si>
  <si>
    <t>Agency survey (Q2 and Q34)</t>
  </si>
  <si>
    <t>Agency (Q2 and Q35)</t>
  </si>
  <si>
    <t>Question No.</t>
  </si>
  <si>
    <t>2013 AOD workforce study survey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</si>
</sst>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2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3F3F76"/>
      <name val="Verdana"/>
      <family val="2"/>
      <scheme val="minor"/>
    </font>
    <font>
      <sz val="14"/>
      <color theme="1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4"/>
      <color theme="5"/>
      <name val="Verdana"/>
      <family val="2"/>
    </font>
    <font>
      <b/>
      <sz val="14"/>
      <color theme="0"/>
      <name val="Verdana"/>
      <family val="2"/>
    </font>
    <font>
      <sz val="14"/>
      <name val="Verdana"/>
      <family val="2"/>
    </font>
    <font>
      <sz val="11"/>
      <color theme="1"/>
      <name val="Verdana"/>
      <family val="2"/>
    </font>
    <font>
      <b/>
      <i/>
      <sz val="14"/>
      <color theme="1"/>
      <name val="Verdana"/>
      <family val="2"/>
    </font>
    <font>
      <b/>
      <sz val="14"/>
      <color rgb="FF006100"/>
      <name val="Verdana"/>
      <family val="2"/>
    </font>
    <font>
      <sz val="14"/>
      <color rgb="FF006100"/>
      <name val="Verdana"/>
      <family val="2"/>
    </font>
    <font>
      <sz val="14"/>
      <color rgb="FFFF0000"/>
      <name val="Verdana"/>
      <family val="2"/>
    </font>
    <font>
      <b/>
      <sz val="14"/>
      <color theme="6" tint="-0.499984740745262"/>
      <name val="Verdana"/>
      <family val="2"/>
    </font>
    <font>
      <b/>
      <sz val="14"/>
      <name val="Verdana"/>
      <family val="2"/>
    </font>
    <font>
      <b/>
      <sz val="26"/>
      <color theme="0"/>
      <name val="Verdana"/>
      <family val="2"/>
    </font>
    <font>
      <sz val="14"/>
      <color theme="0"/>
      <name val="Verdana"/>
      <family val="2"/>
    </font>
    <font>
      <b/>
      <sz val="26"/>
      <color indexed="9"/>
      <name val="Verdana"/>
      <family val="2"/>
    </font>
    <font>
      <b/>
      <sz val="14"/>
      <color theme="0"/>
      <name val="Verdana"/>
      <family val="2"/>
      <scheme val="minor"/>
    </font>
    <font>
      <sz val="14"/>
      <color theme="0"/>
      <name val="Verdana"/>
      <family val="2"/>
      <scheme val="minor"/>
    </font>
    <font>
      <sz val="14"/>
      <color theme="1"/>
      <name val="Verdana"/>
      <scheme val="minor"/>
    </font>
    <font>
      <sz val="8"/>
      <color indexed="81"/>
      <name val="Tahoma"/>
    </font>
    <font>
      <b/>
      <sz val="8"/>
      <color indexed="81"/>
      <name val="Tahoma"/>
    </font>
    <font>
      <sz val="14"/>
      <name val="Verdana"/>
      <family val="2"/>
      <scheme val="minor"/>
    </font>
    <font>
      <i/>
      <sz val="14"/>
      <color theme="1"/>
      <name val="Verdana"/>
      <family val="2"/>
      <scheme val="minor"/>
    </font>
    <font>
      <b/>
      <sz val="14"/>
      <name val="Verdana"/>
      <family val="2"/>
      <scheme val="minor"/>
    </font>
    <font>
      <b/>
      <sz val="14"/>
      <color theme="1"/>
      <name val="Verdana"/>
      <family val="2"/>
      <scheme val="minor"/>
    </font>
    <font>
      <b/>
      <sz val="11"/>
      <color theme="0"/>
      <name val="Verdana"/>
      <family val="2"/>
      <scheme val="minor"/>
    </font>
    <font>
      <b/>
      <sz val="11"/>
      <name val="Verdana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</patternFill>
    </fill>
    <fill>
      <patternFill patternType="solid">
        <fgColor theme="4"/>
        <bgColor theme="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 style="double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theme="4"/>
      </bottom>
      <diagonal/>
    </border>
    <border>
      <left/>
      <right style="thin">
        <color theme="4"/>
      </right>
      <top style="thin">
        <color theme="4"/>
      </top>
      <bottom style="double">
        <color theme="4"/>
      </bottom>
      <diagonal/>
    </border>
    <border>
      <left/>
      <right/>
      <top/>
      <bottom style="thin">
        <color theme="4"/>
      </bottom>
      <diagonal/>
    </border>
    <border>
      <left style="thick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ck">
        <color theme="4"/>
      </right>
      <top/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5" fillId="8" borderId="1" applyNumberFormat="0" applyAlignment="0" applyProtection="0"/>
    <xf numFmtId="0" fontId="21" fillId="7" borderId="0" applyAlignment="0">
      <alignment horizontal="center" vertical="center"/>
    </xf>
    <xf numFmtId="0" fontId="28" fillId="0" borderId="22">
      <alignment horizontal="center" vertical="center" wrapText="1"/>
    </xf>
  </cellStyleXfs>
  <cellXfs count="25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Border="1"/>
    <xf numFmtId="0" fontId="11" fillId="0" borderId="0" xfId="0" applyFont="1"/>
    <xf numFmtId="0" fontId="6" fillId="0" borderId="0" xfId="0" applyFont="1" applyFill="1"/>
    <xf numFmtId="9" fontId="12" fillId="0" borderId="0" xfId="1" applyFont="1" applyFill="1" applyBorder="1" applyAlignment="1">
      <alignment horizontal="center"/>
    </xf>
    <xf numFmtId="0" fontId="13" fillId="0" borderId="0" xfId="2" applyFont="1" applyFill="1"/>
    <xf numFmtId="0" fontId="14" fillId="0" borderId="0" xfId="2" applyFont="1" applyFill="1"/>
    <xf numFmtId="0" fontId="7" fillId="0" borderId="0" xfId="0" applyFont="1" applyFill="1"/>
    <xf numFmtId="0" fontId="15" fillId="0" borderId="0" xfId="0" applyFont="1" applyFill="1"/>
    <xf numFmtId="9" fontId="6" fillId="0" borderId="0" xfId="0" applyNumberFormat="1" applyFont="1" applyBorder="1"/>
    <xf numFmtId="0" fontId="16" fillId="0" borderId="0" xfId="0" applyFont="1" applyAlignment="1">
      <alignment horizontal="left" vertical="top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9" fontId="6" fillId="0" borderId="0" xfId="1" applyFont="1" applyBorder="1" applyAlignment="1">
      <alignment horizontal="center" wrapText="1"/>
    </xf>
    <xf numFmtId="0" fontId="7" fillId="0" borderId="0" xfId="0" applyFont="1" applyBorder="1"/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/>
    <xf numFmtId="9" fontId="6" fillId="0" borderId="0" xfId="1" applyFont="1" applyFill="1" applyBorder="1"/>
    <xf numFmtId="0" fontId="15" fillId="0" borderId="0" xfId="0" applyFont="1"/>
    <xf numFmtId="0" fontId="6" fillId="0" borderId="0" xfId="0" applyFont="1" applyAlignment="1">
      <alignment horizontal="left"/>
    </xf>
    <xf numFmtId="9" fontId="6" fillId="0" borderId="0" xfId="0" applyNumberFormat="1" applyFont="1"/>
    <xf numFmtId="0" fontId="11" fillId="0" borderId="3" xfId="0" applyFont="1" applyBorder="1" applyAlignment="1"/>
    <xf numFmtId="0" fontId="11" fillId="0" borderId="0" xfId="0" applyFont="1" applyAlignment="1"/>
    <xf numFmtId="9" fontId="6" fillId="0" borderId="0" xfId="1" applyFont="1"/>
    <xf numFmtId="0" fontId="6" fillId="0" borderId="0" xfId="0" applyFont="1" applyAlignment="1">
      <alignment horizontal="right"/>
    </xf>
    <xf numFmtId="165" fontId="6" fillId="0" borderId="0" xfId="0" applyNumberFormat="1" applyFont="1"/>
    <xf numFmtId="164" fontId="6" fillId="0" borderId="0" xfId="0" applyNumberFormat="1" applyFont="1"/>
    <xf numFmtId="0" fontId="7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1" fontId="6" fillId="0" borderId="0" xfId="0" applyNumberFormat="1" applyFont="1"/>
    <xf numFmtId="0" fontId="6" fillId="0" borderId="0" xfId="0" applyFont="1" applyFill="1" applyBorder="1" applyAlignment="1">
      <alignment horizontal="center" vertical="center"/>
    </xf>
    <xf numFmtId="9" fontId="6" fillId="0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9" fontId="6" fillId="0" borderId="0" xfId="3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9" fontId="6" fillId="0" borderId="0" xfId="4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top"/>
    </xf>
    <xf numFmtId="0" fontId="6" fillId="0" borderId="0" xfId="3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6" fillId="0" borderId="0" xfId="5" applyFont="1" applyFill="1" applyBorder="1"/>
    <xf numFmtId="0" fontId="6" fillId="0" borderId="0" xfId="5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center" vertical="center"/>
    </xf>
    <xf numFmtId="1" fontId="6" fillId="0" borderId="0" xfId="3" applyNumberFormat="1" applyFont="1" applyFill="1" applyBorder="1" applyAlignment="1">
      <alignment horizontal="center" vertical="top"/>
    </xf>
    <xf numFmtId="1" fontId="6" fillId="0" borderId="0" xfId="3" applyNumberFormat="1" applyFont="1" applyFill="1" applyBorder="1" applyAlignment="1">
      <alignment horizontal="center" vertical="center"/>
    </xf>
    <xf numFmtId="9" fontId="6" fillId="0" borderId="0" xfId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 vertical="center"/>
    </xf>
    <xf numFmtId="9" fontId="6" fillId="0" borderId="0" xfId="1" applyFont="1" applyAlignment="1">
      <alignment horizontal="center" vertical="center"/>
    </xf>
    <xf numFmtId="0" fontId="6" fillId="6" borderId="0" xfId="0" applyFont="1" applyFill="1" applyAlignment="1">
      <alignment vertical="center"/>
    </xf>
    <xf numFmtId="9" fontId="6" fillId="6" borderId="0" xfId="1" applyFont="1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9" fontId="7" fillId="6" borderId="0" xfId="0" applyNumberFormat="1" applyFont="1" applyFill="1" applyAlignment="1">
      <alignment horizontal="center" vertical="center"/>
    </xf>
    <xf numFmtId="0" fontId="6" fillId="6" borderId="7" xfId="0" applyFont="1" applyFill="1" applyBorder="1" applyAlignment="1">
      <alignment vertical="center"/>
    </xf>
    <xf numFmtId="9" fontId="6" fillId="6" borderId="7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9" fontId="6" fillId="0" borderId="8" xfId="1" applyFont="1" applyFill="1" applyBorder="1" applyAlignment="1">
      <alignment horizontal="center"/>
    </xf>
    <xf numFmtId="9" fontId="6" fillId="0" borderId="8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2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9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9" fontId="4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9" fontId="4" fillId="0" borderId="5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17" fillId="5" borderId="11" xfId="0" applyFont="1" applyFill="1" applyBorder="1" applyAlignment="1">
      <alignment horizontal="left"/>
    </xf>
    <xf numFmtId="9" fontId="17" fillId="5" borderId="11" xfId="1" applyNumberFormat="1" applyFont="1" applyFill="1" applyBorder="1" applyAlignment="1">
      <alignment horizontal="center"/>
    </xf>
    <xf numFmtId="9" fontId="17" fillId="5" borderId="12" xfId="1" applyNumberFormat="1" applyFont="1" applyFill="1" applyBorder="1" applyAlignment="1">
      <alignment horizontal="center"/>
    </xf>
    <xf numFmtId="9" fontId="6" fillId="6" borderId="9" xfId="1" applyFont="1" applyFill="1" applyBorder="1" applyAlignment="1">
      <alignment horizontal="center"/>
    </xf>
    <xf numFmtId="9" fontId="6" fillId="6" borderId="9" xfId="0" applyNumberFormat="1" applyFont="1" applyFill="1" applyBorder="1" applyAlignment="1">
      <alignment horizontal="center"/>
    </xf>
    <xf numFmtId="9" fontId="17" fillId="6" borderId="13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4" fillId="0" borderId="0" xfId="0" applyNumberFormat="1" applyFont="1"/>
    <xf numFmtId="9" fontId="4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Alignment="1">
      <alignment horizontal="center"/>
    </xf>
    <xf numFmtId="0" fontId="21" fillId="9" borderId="0" xfId="0" applyFont="1" applyFill="1" applyBorder="1" applyAlignment="1">
      <alignment vertical="top" wrapText="1"/>
    </xf>
    <xf numFmtId="0" fontId="21" fillId="9" borderId="0" xfId="0" applyFont="1" applyFill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9" fontId="21" fillId="9" borderId="16" xfId="1" applyFont="1" applyFill="1" applyBorder="1" applyAlignment="1">
      <alignment horizontal="center" vertical="top"/>
    </xf>
    <xf numFmtId="9" fontId="26" fillId="0" borderId="12" xfId="1" applyFont="1" applyFill="1" applyBorder="1" applyAlignment="1">
      <alignment horizontal="center" vertical="center"/>
    </xf>
    <xf numFmtId="1" fontId="26" fillId="0" borderId="12" xfId="2" applyNumberFormat="1" applyFont="1" applyFill="1" applyBorder="1" applyAlignment="1">
      <alignment horizontal="center" vertical="center"/>
    </xf>
    <xf numFmtId="1" fontId="0" fillId="0" borderId="0" xfId="0" applyNumberFormat="1"/>
    <xf numFmtId="164" fontId="26" fillId="0" borderId="12" xfId="2" applyNumberFormat="1" applyFont="1" applyFill="1" applyBorder="1" applyAlignment="1">
      <alignment horizontal="left" vertical="center" wrapText="1"/>
    </xf>
    <xf numFmtId="2" fontId="6" fillId="0" borderId="0" xfId="0" applyNumberFormat="1" applyFont="1"/>
    <xf numFmtId="0" fontId="4" fillId="0" borderId="0" xfId="0" applyNumberFormat="1" applyFont="1" applyFill="1" applyBorder="1" applyAlignment="1">
      <alignment horizontal="center" vertical="center"/>
    </xf>
    <xf numFmtId="9" fontId="4" fillId="0" borderId="0" xfId="1" applyFont="1" applyAlignment="1">
      <alignment horizontal="center"/>
    </xf>
    <xf numFmtId="0" fontId="4" fillId="0" borderId="0" xfId="0" applyFont="1" applyFill="1" applyBorder="1"/>
    <xf numFmtId="0" fontId="4" fillId="0" borderId="11" xfId="0" applyFont="1" applyBorder="1"/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horizontal="center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9" fontId="4" fillId="0" borderId="0" xfId="1" applyFont="1" applyFill="1" applyBorder="1" applyAlignment="1">
      <alignment horizontal="center" vertical="top"/>
    </xf>
    <xf numFmtId="9" fontId="4" fillId="6" borderId="0" xfId="1" applyFont="1" applyFill="1" applyBorder="1" applyAlignment="1">
      <alignment horizontal="center" vertical="top"/>
    </xf>
    <xf numFmtId="9" fontId="4" fillId="6" borderId="0" xfId="0" applyNumberFormat="1" applyFont="1" applyFill="1" applyAlignment="1">
      <alignment horizontal="center"/>
    </xf>
    <xf numFmtId="9" fontId="4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NumberFormat="1"/>
    <xf numFmtId="9" fontId="4" fillId="0" borderId="0" xfId="1" applyNumberFormat="1" applyFont="1" applyFill="1" applyBorder="1" applyAlignment="1">
      <alignment horizontal="center"/>
    </xf>
    <xf numFmtId="9" fontId="4" fillId="6" borderId="0" xfId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9" fontId="4" fillId="0" borderId="17" xfId="1" applyFont="1" applyFill="1" applyBorder="1" applyAlignment="1">
      <alignment horizontal="center"/>
    </xf>
    <xf numFmtId="9" fontId="4" fillId="6" borderId="17" xfId="1" applyFont="1" applyFill="1" applyBorder="1" applyAlignment="1">
      <alignment horizontal="center"/>
    </xf>
    <xf numFmtId="9" fontId="4" fillId="0" borderId="17" xfId="0" applyNumberFormat="1" applyFont="1" applyBorder="1" applyAlignment="1">
      <alignment horizontal="center"/>
    </xf>
    <xf numFmtId="9" fontId="4" fillId="6" borderId="17" xfId="0" applyNumberFormat="1" applyFont="1" applyFill="1" applyBorder="1" applyAlignment="1">
      <alignment horizontal="center"/>
    </xf>
    <xf numFmtId="0" fontId="22" fillId="7" borderId="0" xfId="0" applyFont="1" applyFill="1"/>
    <xf numFmtId="9" fontId="4" fillId="0" borderId="12" xfId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1" xfId="0" applyFont="1" applyBorder="1"/>
    <xf numFmtId="0" fontId="27" fillId="0" borderId="13" xfId="0" applyFont="1" applyBorder="1" applyAlignment="1">
      <alignment horizontal="center"/>
    </xf>
    <xf numFmtId="9" fontId="4" fillId="0" borderId="13" xfId="1" applyFont="1" applyBorder="1" applyAlignment="1">
      <alignment horizontal="center"/>
    </xf>
    <xf numFmtId="0" fontId="22" fillId="7" borderId="0" xfId="0" applyFont="1" applyFill="1" applyAlignment="1">
      <alignment horizontal="center"/>
    </xf>
    <xf numFmtId="9" fontId="4" fillId="0" borderId="20" xfId="1" applyFont="1" applyFill="1" applyBorder="1" applyAlignment="1">
      <alignment horizontal="center"/>
    </xf>
    <xf numFmtId="9" fontId="4" fillId="0" borderId="20" xfId="0" applyNumberFormat="1" applyFont="1" applyBorder="1" applyAlignment="1">
      <alignment horizontal="center"/>
    </xf>
    <xf numFmtId="9" fontId="4" fillId="6" borderId="0" xfId="0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vertical="center" wrapText="1"/>
    </xf>
    <xf numFmtId="0" fontId="22" fillId="7" borderId="0" xfId="0" applyFont="1" applyFill="1" applyBorder="1" applyAlignment="1">
      <alignment horizontal="center" vertical="top" wrapText="1"/>
    </xf>
    <xf numFmtId="0" fontId="22" fillId="7" borderId="0" xfId="0" applyFont="1" applyFill="1" applyBorder="1" applyAlignment="1">
      <alignment horizontal="center" vertical="center" wrapText="1"/>
    </xf>
    <xf numFmtId="9" fontId="4" fillId="0" borderId="0" xfId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9" fontId="0" fillId="0" borderId="0" xfId="1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9" fontId="4" fillId="0" borderId="0" xfId="1" applyFont="1" applyAlignment="1">
      <alignment horizontal="center" vertical="center"/>
    </xf>
    <xf numFmtId="0" fontId="21" fillId="7" borderId="0" xfId="0" applyFont="1" applyFill="1" applyAlignment="1">
      <alignment vertical="center"/>
    </xf>
    <xf numFmtId="0" fontId="21" fillId="9" borderId="5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left" vertical="top" wrapText="1"/>
    </xf>
    <xf numFmtId="0" fontId="4" fillId="0" borderId="5" xfId="2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21" fillId="9" borderId="16" xfId="0" applyFont="1" applyFill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center"/>
    </xf>
    <xf numFmtId="9" fontId="4" fillId="0" borderId="0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9" fontId="4" fillId="0" borderId="0" xfId="1" applyFont="1" applyFill="1" applyAlignment="1">
      <alignment horizontal="center" vertical="center"/>
    </xf>
    <xf numFmtId="9" fontId="4" fillId="0" borderId="0" xfId="1" applyNumberFormat="1" applyFont="1" applyAlignment="1">
      <alignment horizontal="center"/>
    </xf>
    <xf numFmtId="9" fontId="4" fillId="0" borderId="0" xfId="1" applyFont="1" applyFill="1" applyBorder="1" applyAlignment="1">
      <alignment horizontal="center" vertical="center" wrapText="1"/>
    </xf>
    <xf numFmtId="0" fontId="9" fillId="0" borderId="0" xfId="5" applyFont="1" applyFill="1" applyBorder="1"/>
    <xf numFmtId="0" fontId="9" fillId="0" borderId="0" xfId="5" applyFont="1" applyFill="1" applyBorder="1" applyAlignment="1">
      <alignment horizontal="center" vertical="center"/>
    </xf>
    <xf numFmtId="49" fontId="9" fillId="0" borderId="0" xfId="5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2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2" applyFont="1" applyFill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4" fillId="0" borderId="0" xfId="2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9" fontId="4" fillId="0" borderId="17" xfId="1" applyFont="1" applyFill="1" applyBorder="1" applyAlignment="1">
      <alignment horizontal="center" vertical="center"/>
    </xf>
    <xf numFmtId="9" fontId="4" fillId="0" borderId="20" xfId="1" applyFont="1" applyFill="1" applyBorder="1" applyAlignment="1">
      <alignment horizontal="center" vertical="center"/>
    </xf>
    <xf numFmtId="9" fontId="4" fillId="6" borderId="0" xfId="0" applyNumberFormat="1" applyFont="1" applyFill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9" fontId="4" fillId="6" borderId="0" xfId="0" applyNumberFormat="1" applyFont="1" applyFill="1" applyAlignment="1">
      <alignment horizontal="center" vertical="center"/>
    </xf>
    <xf numFmtId="0" fontId="21" fillId="9" borderId="16" xfId="0" applyFont="1" applyFill="1" applyBorder="1" applyAlignment="1">
      <alignment horizontal="center" vertical="top"/>
    </xf>
    <xf numFmtId="0" fontId="23" fillId="0" borderId="0" xfId="0" applyFont="1"/>
    <xf numFmtId="0" fontId="23" fillId="0" borderId="0" xfId="0" applyFont="1" applyAlignment="1">
      <alignment horizontal="center"/>
    </xf>
    <xf numFmtId="9" fontId="23" fillId="0" borderId="0" xfId="0" applyNumberFormat="1" applyFont="1" applyAlignment="1">
      <alignment horizontal="center" vertical="center"/>
    </xf>
    <xf numFmtId="0" fontId="9" fillId="7" borderId="24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6" borderId="11" xfId="0" applyFont="1" applyFill="1" applyBorder="1" applyAlignment="1">
      <alignment vertical="center"/>
    </xf>
    <xf numFmtId="9" fontId="4" fillId="6" borderId="12" xfId="1" applyFont="1" applyFill="1" applyBorder="1" applyAlignment="1">
      <alignment horizontal="center" vertical="center"/>
    </xf>
    <xf numFmtId="9" fontId="4" fillId="6" borderId="13" xfId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vertical="center"/>
    </xf>
    <xf numFmtId="9" fontId="4" fillId="6" borderId="5" xfId="1" applyFont="1" applyFill="1" applyBorder="1" applyAlignment="1">
      <alignment horizontal="center" vertical="center"/>
    </xf>
    <xf numFmtId="9" fontId="4" fillId="6" borderId="6" xfId="1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vertical="center"/>
    </xf>
    <xf numFmtId="9" fontId="4" fillId="6" borderId="10" xfId="1" applyFont="1" applyFill="1" applyBorder="1" applyAlignment="1">
      <alignment horizontal="center" vertical="center"/>
    </xf>
    <xf numFmtId="9" fontId="4" fillId="6" borderId="15" xfId="1" applyFont="1" applyFill="1" applyBorder="1" applyAlignment="1">
      <alignment horizontal="center" vertical="center"/>
    </xf>
    <xf numFmtId="0" fontId="29" fillId="0" borderId="18" xfId="0" applyFont="1" applyBorder="1"/>
    <xf numFmtId="9" fontId="29" fillId="0" borderId="16" xfId="1" applyFont="1" applyBorder="1" applyAlignment="1">
      <alignment horizontal="center"/>
    </xf>
    <xf numFmtId="9" fontId="29" fillId="0" borderId="19" xfId="1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center"/>
    </xf>
    <xf numFmtId="0" fontId="0" fillId="0" borderId="0" xfId="0"/>
    <xf numFmtId="0" fontId="31" fillId="0" borderId="21" xfId="6" applyFont="1" applyFill="1" applyBorder="1" applyAlignment="1">
      <alignment horizontal="center" vertical="center" wrapText="1"/>
    </xf>
    <xf numFmtId="0" fontId="31" fillId="0" borderId="22" xfId="6" applyFont="1" applyFill="1" applyBorder="1" applyAlignment="1">
      <alignment horizontal="center" vertical="center" wrapText="1"/>
    </xf>
    <xf numFmtId="0" fontId="31" fillId="0" borderId="23" xfId="6" applyFont="1" applyFill="1" applyBorder="1" applyAlignment="1">
      <alignment horizontal="center" vertical="center" wrapText="1"/>
    </xf>
    <xf numFmtId="0" fontId="1" fillId="0" borderId="0" xfId="0" applyFont="1"/>
    <xf numFmtId="0" fontId="30" fillId="7" borderId="0" xfId="6" applyFont="1" applyAlignment="1">
      <alignment vertical="center" wrapText="1"/>
    </xf>
    <xf numFmtId="0" fontId="30" fillId="7" borderId="0" xfId="6" applyFont="1" applyAlignment="1">
      <alignment wrapText="1"/>
    </xf>
    <xf numFmtId="0" fontId="30" fillId="7" borderId="0" xfId="6" applyFont="1" applyAlignment="1">
      <alignment horizontal="center" vertical="center" wrapText="1"/>
    </xf>
    <xf numFmtId="0" fontId="1" fillId="10" borderId="0" xfId="0" applyFont="1" applyFill="1" applyAlignment="1">
      <alignment horizontal="center" vertical="center"/>
    </xf>
    <xf numFmtId="0" fontId="1" fillId="10" borderId="0" xfId="0" applyFont="1" applyFill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30" fillId="7" borderId="0" xfId="6" applyFont="1" applyAlignment="1">
      <alignment horizontal="center" vertical="center"/>
    </xf>
    <xf numFmtId="0" fontId="30" fillId="7" borderId="0" xfId="0" applyFont="1" applyFill="1" applyAlignment="1">
      <alignment horizontal="center" vertical="center"/>
    </xf>
    <xf numFmtId="0" fontId="30" fillId="7" borderId="0" xfId="0" applyFont="1" applyFill="1" applyAlignment="1">
      <alignment wrapText="1"/>
    </xf>
    <xf numFmtId="0" fontId="1" fillId="0" borderId="0" xfId="0" applyFont="1" applyAlignment="1">
      <alignment vertical="center" wrapText="1"/>
    </xf>
    <xf numFmtId="0" fontId="1" fillId="1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31" fillId="0" borderId="22" xfId="7" applyFont="1">
      <alignment horizontal="center" vertical="center" wrapText="1"/>
    </xf>
    <xf numFmtId="0" fontId="31" fillId="0" borderId="22" xfId="7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49" fontId="18" fillId="7" borderId="0" xfId="0" applyNumberFormat="1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/>
    <xf numFmtId="0" fontId="4" fillId="6" borderId="0" xfId="0" applyFont="1" applyFill="1" applyAlignment="1">
      <alignment vertical="center" textRotation="90" wrapText="1"/>
    </xf>
    <xf numFmtId="49" fontId="20" fillId="7" borderId="0" xfId="0" applyNumberFormat="1" applyFont="1" applyFill="1" applyAlignment="1">
      <alignment horizontal="center" vertical="center"/>
    </xf>
  </cellXfs>
  <cellStyles count="8">
    <cellStyle name="Calculation" xfId="5" builtinId="22"/>
    <cellStyle name="Good" xfId="2" builtinId="26"/>
    <cellStyle name="Input" xfId="3" builtinId="20"/>
    <cellStyle name="Normal" xfId="0" builtinId="0" customBuiltin="1"/>
    <cellStyle name="Note" xfId="4" builtinId="10"/>
    <cellStyle name="Percent" xfId="1" builtinId="5"/>
    <cellStyle name="Style 1" xfId="6"/>
    <cellStyle name="Style 2" xfId="7"/>
  </cellStyles>
  <dxfs count="6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numFmt numFmtId="165" formatCode="0.0%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border diagonalUp="0" diagonalDown="0">
        <left style="thick">
          <color theme="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ck">
          <color theme="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  <border diagonalUp="0" diagonalDown="0">
        <left style="thick">
          <color theme="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ck">
          <color theme="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border diagonalUp="0" diagonalDown="0">
        <left style="thick">
          <color theme="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ck">
          <color theme="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border diagonalUp="0" diagonalDown="0">
        <left style="thick">
          <color theme="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alignment horizontal="center" textRotation="0" wrapText="0" indent="0" justifyLastLine="0" shrinkToFit="0" readingOrder="0"/>
    </dxf>
    <dxf>
      <font>
        <sz val="14"/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Verdana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Verdana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Verdana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Verdana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border outline="0">
        <left style="thin">
          <color theme="4"/>
        </left>
        <top style="thin">
          <color theme="4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Verdana"/>
        <scheme val="minor"/>
      </font>
      <fill>
        <patternFill patternType="solid">
          <fgColor theme="4"/>
          <bgColor theme="4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border outline="0">
        <left style="thin">
          <color theme="4"/>
        </left>
        <top style="thin">
          <color theme="4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Verdana"/>
        <scheme val="minor"/>
      </font>
      <fill>
        <patternFill patternType="solid">
          <fgColor theme="4"/>
          <bgColor theme="4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Verdana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Verdana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Verdana"/>
        <scheme val="none"/>
      </font>
      <alignment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Verdana"/>
        <scheme val="none"/>
      </font>
      <alignment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rgb="FF000000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numFmt numFmtId="13" formatCode="0%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minor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rgb="FF000000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3" formatCode="0%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  <fill>
        <patternFill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3" formatCode="0%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  <fill>
        <patternFill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name val="Verdana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Verdana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Verdana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Verdana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Verdana"/>
      </font>
    </dxf>
    <dxf>
      <font>
        <strike val="0"/>
        <outline val="0"/>
        <shadow val="0"/>
        <u val="none"/>
        <vertAlign val="baseline"/>
        <sz val="14"/>
        <name val="Verdana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b/>
        <strike val="0"/>
        <outline val="0"/>
        <shadow val="0"/>
        <u val="none"/>
        <vertAlign val="baseline"/>
        <sz val="14"/>
        <color theme="0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Verdana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Verdana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name val="Verdana"/>
        <scheme val="none"/>
      </font>
    </dxf>
    <dxf>
      <font>
        <strike val="0"/>
        <outline val="0"/>
        <shadow val="0"/>
        <u val="none"/>
        <vertAlign val="baseline"/>
        <sz val="14"/>
        <name val="Verdana"/>
        <scheme val="none"/>
      </font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Light9 2" defaultPivotStyle="PivotStyleLight16">
    <tableStyle name="TableStyleLight9 2" pivot="0" count="9">
      <tableStyleElement type="wholeTable" dxfId="675"/>
      <tableStyleElement type="headerRow" dxfId="674"/>
      <tableStyleElement type="totalRow" dxfId="673"/>
      <tableStyleElement type="firstColumn" dxfId="672"/>
      <tableStyleElement type="lastColumn" dxfId="671"/>
      <tableStyleElement type="firstRowStripe" dxfId="670"/>
      <tableStyleElement type="secondRowStripe" dxfId="669"/>
      <tableStyleElement type="firstColumnStripe" dxfId="668"/>
      <tableStyleElement type="secondColumnStripe" dxfId="667"/>
    </tableStyle>
  </tableStyles>
  <colors>
    <mruColors>
      <color rgb="FFFFFFCC"/>
      <color rgb="FFCCECFF"/>
      <color rgb="FFC0504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638175</xdr:colOff>
          <xdr:row>44</xdr:row>
          <xdr:rowOff>57150</xdr:rowOff>
        </xdr:to>
        <xdr:sp macro="" textlink="">
          <xdr:nvSpPr>
            <xdr:cNvPr id="20486" name="Object 6" hidden="1">
              <a:extLst>
                <a:ext uri="{63B3BB69-23CF-44E3-9099-C40C66FF867C}">
                  <a14:compatExt spid="_x0000_s20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7:E10" totalsRowCount="1" headerRowDxfId="666" dataDxfId="665" totalsRowDxfId="664">
  <autoFilter ref="A7:E9"/>
  <tableColumns count="5">
    <tableColumn id="1" name="Location" totalsRowLabel="Total" dataDxfId="663" totalsRowDxfId="662"/>
    <tableColumn id="2" name="Headcount" totalsRowFunction="sum" dataDxfId="661" totalsRowDxfId="660"/>
    <tableColumn id="3" name="% total headcount" totalsRowFunction="sum" dataDxfId="659" totalsRowDxfId="658" dataCellStyle="Percent">
      <calculatedColumnFormula>Table1[[#This Row],[Headcount]]/Table1[[#Totals],[Headcount]]</calculatedColumnFormula>
    </tableColumn>
    <tableColumn id="4" name="EFT" totalsRowFunction="sum" dataDxfId="657" totalsRowDxfId="656"/>
    <tableColumn id="5" name="% total EFT" totalsRowFunction="sum" dataDxfId="655" totalsRowDxfId="654" dataCellStyle="Percent">
      <calculatedColumnFormula>Table1[[#This Row],[EFT]]/Table1[[#Totals],[EFT]]</calculatedColumnFormula>
    </tableColumn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81" name="Table81" displayName="Table81" ref="A148:D149" totalsRowShown="0" headerRowDxfId="573" dataDxfId="572">
  <autoFilter ref="A148:D149"/>
  <tableColumns count="4">
    <tableColumn id="1" name=" " dataDxfId="571"/>
    <tableColumn id="2" name="Metro" dataDxfId="570"/>
    <tableColumn id="3" name="Rural" dataDxfId="569"/>
    <tableColumn id="4" name="Total" dataDxfId="568"/>
  </tableColumns>
  <tableStyleInfo name="TableStyleLight9 2" showFirstColumn="0" showLastColumn="0" showRowStripes="1" showColumnStripes="0"/>
</table>
</file>

<file path=xl/tables/table11.xml><?xml version="1.0" encoding="utf-8"?>
<table xmlns="http://schemas.openxmlformats.org/spreadsheetml/2006/main" id="10" name="Table10" displayName="Table10" ref="A7:D19" totalsRowShown="0" headerRowDxfId="567" dataDxfId="566">
  <autoFilter ref="A7:D19"/>
  <tableColumns count="4">
    <tableColumn id="1" name="Region" dataDxfId="565"/>
    <tableColumn id="2" name="Female (n=560)" dataDxfId="564"/>
    <tableColumn id="3" name="Male (n=255)" dataDxfId="563"/>
    <tableColumn id="4" name="Total (n=815)" dataDxfId="562" dataCellStyle="Percent"/>
  </tableColumns>
  <tableStyleInfo name="TableStyleLight9 2" showFirstColumn="0" showLastColumn="0" showRowStripes="1" showColumnStripes="0"/>
</table>
</file>

<file path=xl/tables/table12.xml><?xml version="1.0" encoding="utf-8"?>
<table xmlns="http://schemas.openxmlformats.org/spreadsheetml/2006/main" id="11" name="Table11" displayName="Table11" ref="A26:H33" totalsRowCount="1" headerRowDxfId="561" dataDxfId="560" totalsRowDxfId="559">
  <autoFilter ref="A26:H32"/>
  <tableColumns count="8">
    <tableColumn id="1" name="Age group" totalsRowLabel="Total" dataDxfId="558" totalsRowDxfId="557"/>
    <tableColumn id="2" name="Male %" totalsRowFunction="sum" dataDxfId="556" totalsRowDxfId="555"/>
    <tableColumn id="3" name="Female %" totalsRowFunction="sum" dataDxfId="554" totalsRowDxfId="553"/>
    <tableColumn id="4" name="% All" totalsRowFunction="sum" dataDxfId="552" totalsRowDxfId="551">
      <calculatedColumnFormula>AVERAGE(B27:C27)</calculatedColumnFormula>
    </tableColumn>
    <tableColumn id="5" name="% Rural" totalsRowFunction="sum" dataDxfId="550" totalsRowDxfId="549"/>
    <tableColumn id="6" name="% Metro" totalsRowFunction="sum" dataDxfId="548" totalsRowDxfId="547"/>
    <tableColumn id="7" name="% Unknown location" totalsRowFunction="sum" dataDxfId="546" totalsRowDxfId="545"/>
    <tableColumn id="8" name="% total" totalsRowFunction="sum" dataDxfId="544" totalsRowDxfId="543">
      <calculatedColumnFormula>AVERAGE(E27:G27)</calculatedColumnFormula>
    </tableColumn>
  </tableColumns>
  <tableStyleInfo name="TableStyleLight9 2" showFirstColumn="0" showLastColumn="0" showRowStripes="1" showColumnStripes="0"/>
</table>
</file>

<file path=xl/tables/table13.xml><?xml version="1.0" encoding="utf-8"?>
<table xmlns="http://schemas.openxmlformats.org/spreadsheetml/2006/main" id="14" name="Table14" displayName="Table14" ref="A41:C44" totalsRowCount="1" headerRowDxfId="542" dataDxfId="541" totalsRowDxfId="540">
  <autoFilter ref="A41:C43"/>
  <tableColumns count="3">
    <tableColumn id="1" name="Gender" totalsRowLabel="Total" dataDxfId="539" totalsRowDxfId="538"/>
    <tableColumn id="2" name="Frequency" totalsRowFunction="sum" dataDxfId="537" totalsRowDxfId="536"/>
    <tableColumn id="3" name="% total" totalsRowFunction="sum" dataDxfId="535" totalsRowDxfId="534">
      <calculatedColumnFormula>Table14[[#This Row],[Frequency]]/Table14[[#Totals],[Frequency]]</calculatedColumnFormula>
    </tableColumn>
  </tableColumns>
  <tableStyleInfo name="TableStyleLight9 2" showFirstColumn="0" showLastColumn="0" showRowStripes="1" showColumnStripes="0"/>
</table>
</file>

<file path=xl/tables/table14.xml><?xml version="1.0" encoding="utf-8"?>
<table xmlns="http://schemas.openxmlformats.org/spreadsheetml/2006/main" id="15" name="Table15" displayName="Table15" ref="A51:E54" totalsRowCount="1" headerRowDxfId="533" dataDxfId="532" totalsRowDxfId="531">
  <autoFilter ref="A51:E53"/>
  <tableColumns count="5">
    <tableColumn id="1" name="Gender" totalsRowLabel="Total" dataDxfId="530" totalsRowDxfId="529"/>
    <tableColumn id="2" name="Rural (n=222)" totalsRowFunction="average" dataDxfId="528" totalsRowDxfId="527"/>
    <tableColumn id="3" name="Metro (n=560)" totalsRowLabel="44" dataDxfId="526" totalsRowDxfId="525"/>
    <tableColumn id="4" name="Unknown location (n=33)" totalsRowLabel="46" dataDxfId="524" totalsRowDxfId="523"/>
    <tableColumn id="5" name="Total (n=815)" totalsRowLabel="45" dataDxfId="522" totalsRowDxfId="521"/>
  </tableColumns>
  <tableStyleInfo name="TableStyleLight9 2" showFirstColumn="0" showLastColumn="0" showRowStripes="1" showColumnStripes="0"/>
</table>
</file>

<file path=xl/tables/table15.xml><?xml version="1.0" encoding="utf-8"?>
<table xmlns="http://schemas.openxmlformats.org/spreadsheetml/2006/main" id="22" name="Table22" displayName="Table22" ref="A62:D65" totalsRowShown="0" headerRowDxfId="520" dataDxfId="519">
  <autoFilter ref="A62:D65"/>
  <tableColumns count="4">
    <tableColumn id="1" name="Country of Birth" dataDxfId="518"/>
    <tableColumn id="2" name="No" dataDxfId="517"/>
    <tableColumn id="3" name="Yes" dataDxfId="516"/>
    <tableColumn id="4" name="Total (n=814)" dataDxfId="515"/>
  </tableColumns>
  <tableStyleInfo name="TableStyleLight9 2" showFirstColumn="0" showLastColumn="0" showRowStripes="1" showColumnStripes="0"/>
</table>
</file>

<file path=xl/tables/table16.xml><?xml version="1.0" encoding="utf-8"?>
<table xmlns="http://schemas.openxmlformats.org/spreadsheetml/2006/main" id="25" name="Table25" displayName="Table25" ref="A82:B86" totalsRowCount="1" headerRowDxfId="514" dataDxfId="513" totalsRowDxfId="512">
  <autoFilter ref="A82:B85"/>
  <tableColumns count="2">
    <tableColumn id="1" name="Aboriginal or Torres Strait Islander background" totalsRowLabel="Total" dataDxfId="511" totalsRowDxfId="510"/>
    <tableColumn id="2" name="Frequency" totalsRowFunction="sum" dataDxfId="509" totalsRowDxfId="508"/>
  </tableColumns>
  <tableStyleInfo name="TableStyleLight9 2" showFirstColumn="0" showLastColumn="0" showRowStripes="1" showColumnStripes="0"/>
</table>
</file>

<file path=xl/tables/table17.xml><?xml version="1.0" encoding="utf-8"?>
<table xmlns="http://schemas.openxmlformats.org/spreadsheetml/2006/main" id="53" name="Table53" displayName="Table53" ref="A72:B75" totalsRowShown="0" headerRowDxfId="507" dataDxfId="506">
  <autoFilter ref="A72:B75"/>
  <tableColumns count="2">
    <tableColumn id="1" name="Citizenship" dataDxfId="505"/>
    <tableColumn id="2" name="Frequency" dataDxfId="504"/>
  </tableColumns>
  <tableStyleInfo name="TableStyleLight9 2" showFirstColumn="0" showLastColumn="0" showRowStripes="1" showColumnStripes="0"/>
</table>
</file>

<file path=xl/tables/table18.xml><?xml version="1.0" encoding="utf-8"?>
<table xmlns="http://schemas.openxmlformats.org/spreadsheetml/2006/main" id="26" name="Table1627" displayName="Table1627" ref="A6:E9" totalsRowCount="1" headerRowDxfId="503" dataDxfId="502" totalsRowDxfId="501">
  <autoFilter ref="A6:E8"/>
  <tableColumns count="5">
    <tableColumn id="1" name="Provision of service in a language other than English" totalsRowLabel="Total" dataDxfId="500" totalsRowDxfId="499"/>
    <tableColumn id="2" name="Rural" totalsRowFunction="sum" dataDxfId="498" totalsRowDxfId="497"/>
    <tableColumn id="3" name="Metro" totalsRowFunction="sum" dataDxfId="496" totalsRowDxfId="495"/>
    <tableColumn id="4" name="Total" totalsRowFunction="sum" dataDxfId="494" totalsRowDxfId="493"/>
    <tableColumn id="6" name="% total" totalsRowFunction="sum" dataDxfId="492" totalsRowDxfId="491">
      <calculatedColumnFormula>Table1627[[#This Row],[Total]]/Table1627[[#Totals],[Total]]</calculatedColumnFormula>
    </tableColumn>
  </tableColumns>
  <tableStyleInfo name="TableStyleLight9 2" showFirstColumn="0" showLastColumn="0" showRowStripes="1" showColumnStripes="0"/>
</table>
</file>

<file path=xl/tables/table19.xml><?xml version="1.0" encoding="utf-8"?>
<table xmlns="http://schemas.openxmlformats.org/spreadsheetml/2006/main" id="27" name="Table1728" displayName="Table1728" ref="A14:C41" totalsRowCount="1" headerRowDxfId="490" dataDxfId="489" totalsRowDxfId="488">
  <autoFilter ref="A14:C40"/>
  <tableColumns count="3">
    <tableColumn id="1" name="Activity" totalsRowLabel="Total" dataDxfId="487" totalsRowDxfId="486"/>
    <tableColumn id="2" name="Frequency" totalsRowFunction="sum" dataDxfId="485" totalsRowDxfId="484"/>
    <tableColumn id="3" name="% total" totalsRowFunction="sum" dataDxfId="483" totalsRowDxfId="482">
      <calculatedColumnFormula>Table1728[[#This Row],[Frequency]]/Table1728[[#Totals],[Frequency]]</calculatedColumnFormula>
    </tableColumn>
  </tableColumns>
  <tableStyleInfo name="TableStyleLight9 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7:E26" totalsRowCount="1" headerRowDxfId="653" dataDxfId="652" totalsRowDxfId="651">
  <autoFilter ref="A17:E25"/>
  <tableColumns count="5">
    <tableColumn id="1" name="Funding Source" totalsRowLabel="Total" dataDxfId="650" totalsRowDxfId="649"/>
    <tableColumn id="2" name="Headcount" totalsRowFunction="sum" dataDxfId="648" totalsRowDxfId="647"/>
    <tableColumn id="3" name="% total headcount" totalsRowFunction="sum" dataDxfId="646" totalsRowDxfId="645">
      <calculatedColumnFormula>B18/(SUM($B$18:$B$25))</calculatedColumnFormula>
    </tableColumn>
    <tableColumn id="4" name="EFT" totalsRowFunction="sum" dataDxfId="644" totalsRowDxfId="643"/>
    <tableColumn id="5" name="% total EFT" totalsRowFunction="sum" dataDxfId="642" totalsRowDxfId="641">
      <calculatedColumnFormula>D18/(SUM($D$18:$D$25))</calculatedColumnFormula>
    </tableColumn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8" name="Table1829" displayName="Table1829" ref="A45:C60" totalsRowCount="1" headerRowDxfId="481" dataDxfId="480" totalsRowDxfId="479">
  <autoFilter ref="A45:C59"/>
  <tableColumns count="3">
    <tableColumn id="1" name="Service Type" totalsRowLabel="Total" dataDxfId="478" totalsRowDxfId="477"/>
    <tableColumn id="2" name="Frequency" totalsRowFunction="sum" dataDxfId="476" totalsRowDxfId="475"/>
    <tableColumn id="3" name="% total" totalsRowFunction="sum" dataDxfId="474" totalsRowDxfId="473">
      <calculatedColumnFormula>Table1829[[#This Row],[Frequency]]/Table1829[[#Totals],[Frequency]]</calculatedColumnFormula>
    </tableColumn>
  </tableColumns>
  <tableStyleInfo name="TableStyleLight9 2" showFirstColumn="0" showLastColumn="0" showRowStripes="1" showColumnStripes="0"/>
</table>
</file>

<file path=xl/tables/table21.xml><?xml version="1.0" encoding="utf-8"?>
<table xmlns="http://schemas.openxmlformats.org/spreadsheetml/2006/main" id="29" name="Table1930" displayName="Table1930" ref="A65:C69" headerRowDxfId="472" dataDxfId="471" totalsRowDxfId="470">
  <autoFilter ref="A65:C69"/>
  <tableColumns count="3">
    <tableColumn id="1" name="Hours worked per week" totalsRowLabel="Total" dataDxfId="469" totalsRowDxfId="468"/>
    <tableColumn id="2" name="Mean (hours)" totalsRowFunction="average" dataDxfId="467" totalsRowDxfId="466"/>
    <tableColumn id="3" name="Median (hours)" totalsRowFunction="average" dataDxfId="465" totalsRowDxfId="464"/>
  </tableColumns>
  <tableStyleInfo name="TableStyleLight9 2" showFirstColumn="0" showLastColumn="0" showRowStripes="1" showColumnStripes="0"/>
</table>
</file>

<file path=xl/tables/table22.xml><?xml version="1.0" encoding="utf-8"?>
<table xmlns="http://schemas.openxmlformats.org/spreadsheetml/2006/main" id="30" name="Table2031" displayName="Table2031" ref="A74:E86" totalsRowCount="1" headerRowDxfId="463" dataDxfId="462">
  <autoFilter ref="A74:E85"/>
  <tableColumns count="5">
    <tableColumn id="1" name="Proportion of time spent on direct clinical activities (%)" totalsRowLabel="Total" dataDxfId="461" totalsRowDxfId="460"/>
    <tableColumn id="2" name="Metro (n=560)" totalsRowFunction="sum" dataDxfId="459" totalsRowDxfId="458"/>
    <tableColumn id="3" name="Rural (n=222)" totalsRowFunction="sum" dataDxfId="457" totalsRowDxfId="456"/>
    <tableColumn id="4" name="Unknown (n=33)" totalsRowFunction="sum" dataDxfId="455" totalsRowDxfId="454"/>
    <tableColumn id="5" name="% total (n=815)" totalsRowFunction="sum" dataDxfId="453" totalsRowDxfId="452"/>
  </tableColumns>
  <tableStyleInfo name="TableStyleLight9 2" showFirstColumn="0" showLastColumn="0" showRowStripes="1" showColumnStripes="0"/>
</table>
</file>

<file path=xl/tables/table23.xml><?xml version="1.0" encoding="utf-8"?>
<table xmlns="http://schemas.openxmlformats.org/spreadsheetml/2006/main" id="31" name="Table31" displayName="Table31" ref="A124:D130" totalsRowCount="1" headerRowDxfId="451" dataDxfId="450" tableBorderDxfId="449">
  <autoFilter ref="A124:D129"/>
  <tableColumns count="4">
    <tableColumn id="1" name="Employment Status" totalsRowLabel="Total" dataDxfId="448" totalsRowDxfId="447" dataCellStyle="Good"/>
    <tableColumn id="2" name="Metro (n=435)" dataDxfId="446" totalsRowDxfId="445"/>
    <tableColumn id="3" name="Rural (n=187)" dataDxfId="444" totalsRowDxfId="443"/>
    <tableColumn id="4" name="Total (n=622)" totalsRowFunction="sum" dataDxfId="442" totalsRowDxfId="441"/>
  </tableColumns>
  <tableStyleInfo name="TableStyleLight9 2" showFirstColumn="0" showLastColumn="0" showRowStripes="1" showColumnStripes="0"/>
</table>
</file>

<file path=xl/tables/table24.xml><?xml version="1.0" encoding="utf-8"?>
<table xmlns="http://schemas.openxmlformats.org/spreadsheetml/2006/main" id="32" name="Table3133" displayName="Table3133" ref="A137:C140" totalsRowCount="1" headerRowDxfId="440" dataDxfId="439" tableBorderDxfId="438">
  <autoFilter ref="A137:C139"/>
  <tableColumns count="3">
    <tableColumn id="1" name=" " dataDxfId="437" totalsRowDxfId="436" dataCellStyle="Good"/>
    <tableColumn id="2" name="Frequency" totalsRowFunction="sum" dataDxfId="435" totalsRowDxfId="434"/>
    <tableColumn id="3" name="% total" totalsRowFunction="sum" dataDxfId="433" totalsRowDxfId="432">
      <calculatedColumnFormula>Table3133[[#This Row],[Frequency]]/Table3133[[#Totals],[Frequency]]</calculatedColumnFormula>
    </tableColumn>
  </tableColumns>
  <tableStyleInfo name="TableStyleLight9 2" showFirstColumn="0" showLastColumn="0" showRowStripes="1" showColumnStripes="0"/>
</table>
</file>

<file path=xl/tables/table25.xml><?xml version="1.0" encoding="utf-8"?>
<table xmlns="http://schemas.openxmlformats.org/spreadsheetml/2006/main" id="34" name="Table34" displayName="Table34" ref="A157:C165" totalsRowCount="1" headerRowDxfId="431" totalsRowDxfId="429" headerRowBorderDxfId="430" totalsRowBorderDxfId="428" totalsRowCellStyle="Good">
  <autoFilter ref="A157:C164"/>
  <tableColumns count="3">
    <tableColumn id="1" name="Sector" totalsRowLabel="Total" dataDxfId="427" totalsRowDxfId="426" dataCellStyle="Good"/>
    <tableColumn id="2" name="Frequency" totalsRowFunction="sum" dataDxfId="425" dataCellStyle="Good"/>
    <tableColumn id="3" name="% total" totalsRowFunction="sum" dataDxfId="424" totalsRowDxfId="423" dataCellStyle="Percent">
      <calculatedColumnFormula>Table34[[#This Row],[Frequency]]/Table34[[#Totals],[Frequency]]</calculatedColumnFormula>
    </tableColumn>
  </tableColumns>
  <tableStyleInfo name="TableStyleLight9 2" showFirstColumn="0" showLastColumn="0" showRowStripes="1" showColumnStripes="0"/>
</table>
</file>

<file path=xl/tables/table26.xml><?xml version="1.0" encoding="utf-8"?>
<table xmlns="http://schemas.openxmlformats.org/spreadsheetml/2006/main" id="69" name="Table69" displayName="Table69" ref="A92:B100" totalsRowShown="0" headerRowDxfId="422" dataDxfId="421">
  <autoFilter ref="A92:B100"/>
  <tableColumns count="2">
    <tableColumn id="1" name="Direct clinical activity" dataDxfId="420"/>
    <tableColumn id="2" name="Average proportion of direct clinical activity time" dataDxfId="419"/>
  </tableColumns>
  <tableStyleInfo name="TableStyleLight9 2" showFirstColumn="0" showLastColumn="0" showRowStripes="1" showColumnStripes="0"/>
</table>
</file>

<file path=xl/tables/table27.xml><?xml version="1.0" encoding="utf-8"?>
<table xmlns="http://schemas.openxmlformats.org/spreadsheetml/2006/main" id="70" name="Table6971" displayName="Table6971" ref="A107:B117" totalsRowShown="0" headerRowDxfId="418" dataDxfId="417">
  <autoFilter ref="A107:B117"/>
  <tableColumns count="2">
    <tableColumn id="1" name="Non-direct clinical activity" dataDxfId="416"/>
    <tableColumn id="2" name="Average proportion of non-direct clinical activity time" dataDxfId="415"/>
  </tableColumns>
  <tableStyleInfo name="TableStyleLight9 2" showFirstColumn="0" showLastColumn="0" showRowStripes="1" showColumnStripes="0"/>
</table>
</file>

<file path=xl/tables/table28.xml><?xml version="1.0" encoding="utf-8"?>
<table xmlns="http://schemas.openxmlformats.org/spreadsheetml/2006/main" id="35" name="Table35" displayName="Table35" ref="A6:E9" totalsRowCount="1" headerRowDxfId="414" dataDxfId="413">
  <autoFilter ref="A6:E8"/>
  <tableColumns count="5">
    <tableColumn id="1" name=" " totalsRowLabel="Total" dataDxfId="412" totalsRowDxfId="411"/>
    <tableColumn id="2" name="Metro (n=404)" totalsRowFunction="sum" dataDxfId="410" totalsRowDxfId="409"/>
    <tableColumn id="3" name="Rural (n=174)" totalsRowFunction="sum" dataDxfId="408" totalsRowDxfId="407"/>
    <tableColumn id="4" name="Unknown location (n=5)" totalsRowFunction="sum" dataDxfId="406" totalsRowDxfId="405"/>
    <tableColumn id="5" name="Total (n=583)" totalsRowFunction="sum" dataDxfId="404" totalsRowDxfId="403"/>
  </tableColumns>
  <tableStyleInfo name="TableStyleLight9 2" showFirstColumn="0" showLastColumn="0" showRowStripes="1" showColumnStripes="0"/>
</table>
</file>

<file path=xl/tables/table29.xml><?xml version="1.0" encoding="utf-8"?>
<table xmlns="http://schemas.openxmlformats.org/spreadsheetml/2006/main" id="36" name="Table36" displayName="Table36" ref="A16:F25" totalsRowCount="1" headerRowDxfId="402" dataDxfId="401">
  <autoFilter ref="A16:F24"/>
  <tableColumns count="6">
    <tableColumn id="1" name="Qualification specialising in AOD/Addiction Studies" totalsRowLabel="Total" dataDxfId="400" totalsRowDxfId="399"/>
    <tableColumn id="2" name="Metro" totalsRowFunction="sum" dataDxfId="398" totalsRowDxfId="397"/>
    <tableColumn id="3" name="Rural" totalsRowFunction="sum" dataDxfId="396" totalsRowDxfId="395"/>
    <tableColumn id="4" name="Unknown" totalsRowFunction="sum" dataDxfId="394" totalsRowDxfId="393"/>
    <tableColumn id="5" name="Total" totalsRowFunction="sum" dataDxfId="392" totalsRowDxfId="391"/>
    <tableColumn id="6" name="%  total" totalsRowFunction="sum" dataDxfId="390" totalsRowDxfId="389" dataCellStyle="Percent">
      <calculatedColumnFormula>Table36[[#This Row],[Total]]/Table36[[#Totals],[Total]]</calculatedColumnFormula>
    </tableColumn>
  </tableColumns>
  <tableStyleInfo name="TableStyleLight9 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43:C46" totalsRowCount="1" headerRowDxfId="640" dataDxfId="639" totalsRowDxfId="638">
  <autoFilter ref="A43:C45"/>
  <tableColumns count="3">
    <tableColumn id="1" name="Location" totalsRowLabel="Total" dataDxfId="637" totalsRowDxfId="636"/>
    <tableColumn id="2" name="Frequency" totalsRowFunction="sum" dataDxfId="635" totalsRowDxfId="634"/>
    <tableColumn id="3" name="% total" totalsRowFunction="sum" dataDxfId="633" totalsRowDxfId="632">
      <calculatedColumnFormula>Table3[[#This Row],[Frequency]]/Table3[[#Totals],[Frequency]]</calculatedColumnFormula>
    </tableColumn>
  </tableColumns>
  <tableStyleInfo name="TableStyleLight9 2" showFirstColumn="0" showLastColumn="0" showRowStripes="1" showColumnStripes="0"/>
</table>
</file>

<file path=xl/tables/table30.xml><?xml version="1.0" encoding="utf-8"?>
<table xmlns="http://schemas.openxmlformats.org/spreadsheetml/2006/main" id="37" name="Table37" displayName="Table37" ref="A39:C43" totalsRowCount="1" headerRowDxfId="388" dataDxfId="387">
  <autoFilter ref="A39:C42"/>
  <tableColumns count="3">
    <tableColumn id="1" name="Column1" totalsRowLabel="Total" dataDxfId="386" totalsRowDxfId="385"/>
    <tableColumn id="2" name="Frequency" totalsRowFunction="sum" dataDxfId="384" totalsRowDxfId="383"/>
    <tableColumn id="3" name="% total" totalsRowFunction="sum" dataDxfId="382" totalsRowDxfId="381">
      <calculatedColumnFormula>Table37[[#This Row],[Frequency]]/Table37[[#Totals],[Frequency]]</calculatedColumnFormula>
    </tableColumn>
  </tableColumns>
  <tableStyleInfo name="TableStyleLight9 2" showFirstColumn="0" showLastColumn="0" showRowStripes="1" showColumnStripes="0"/>
</table>
</file>

<file path=xl/tables/table31.xml><?xml version="1.0" encoding="utf-8"?>
<table xmlns="http://schemas.openxmlformats.org/spreadsheetml/2006/main" id="38" name="Table38" displayName="Table38" ref="A50:E59" totalsRowCount="1" headerRowDxfId="380" dataDxfId="379">
  <autoFilter ref="A50:E58"/>
  <tableColumns count="5">
    <tableColumn id="1" name="AOD qualification in which worker is currently enrolled" totalsRowLabel="Total" dataDxfId="378" totalsRowDxfId="377"/>
    <tableColumn id="2" name="Metro" totalsRowFunction="sum" dataDxfId="376" totalsRowDxfId="375"/>
    <tableColumn id="3" name="Rural" totalsRowFunction="sum" dataDxfId="374" totalsRowDxfId="373"/>
    <tableColumn id="5" name="Total" totalsRowFunction="sum" dataDxfId="372" totalsRowDxfId="371"/>
    <tableColumn id="6" name="% total (n=94)" totalsRowFunction="sum" dataDxfId="370" totalsRowDxfId="369" dataCellStyle="Percent">
      <calculatedColumnFormula>Table38[[#This Row],[Total]]/Table38[[#Totals],[Total]]</calculatedColumnFormula>
    </tableColumn>
  </tableColumns>
  <tableStyleInfo name="TableStyleLight9 2" showFirstColumn="0" showLastColumn="0" showRowStripes="1" showColumnStripes="0"/>
</table>
</file>

<file path=xl/tables/table32.xml><?xml version="1.0" encoding="utf-8"?>
<table xmlns="http://schemas.openxmlformats.org/spreadsheetml/2006/main" id="39" name="Table39" displayName="Table39" ref="A73:B76" totalsRowShown="0" headerRowDxfId="368" dataDxfId="367">
  <autoFilter ref="A73:B76"/>
  <tableColumns count="2">
    <tableColumn id="1" name="AOD workers with formal health, social or behavioural science qualification" dataDxfId="366"/>
    <tableColumn id="2" name="Frequency" dataDxfId="365"/>
  </tableColumns>
  <tableStyleInfo name="TableStyleLight9 2" showFirstColumn="0" showLastColumn="0" showRowStripes="1" showColumnStripes="0"/>
</table>
</file>

<file path=xl/tables/table33.xml><?xml version="1.0" encoding="utf-8"?>
<table xmlns="http://schemas.openxmlformats.org/spreadsheetml/2006/main" id="40" name="Table40" displayName="Table40" ref="A84:D95" totalsRowShown="0" headerRowDxfId="364" dataDxfId="363">
  <autoFilter ref="A84:D95"/>
  <tableColumns count="4">
    <tableColumn id="1" name="Qualification" dataDxfId="362"/>
    <tableColumn id="2" name="Completed" dataDxfId="361"/>
    <tableColumn id="3" name="Currently enrolled" dataDxfId="360"/>
    <tableColumn id="4" name="Total" dataDxfId="359">
      <calculatedColumnFormula>SUM(B85:C85)</calculatedColumnFormula>
    </tableColumn>
  </tableColumns>
  <tableStyleInfo name="TableStyleLight9 2" showFirstColumn="0" showLastColumn="0" showRowStripes="1" showColumnStripes="0"/>
</table>
</file>

<file path=xl/tables/table34.xml><?xml version="1.0" encoding="utf-8"?>
<table xmlns="http://schemas.openxmlformats.org/spreadsheetml/2006/main" id="41" name="Table41" displayName="Table41" ref="A102:E103" totalsRowShown="0" headerRowDxfId="358" dataDxfId="357">
  <autoFilter ref="A102:E103"/>
  <tableColumns count="5">
    <tableColumn id="1" name=" " dataDxfId="356" totalsRowDxfId="355"/>
    <tableColumn id="2" name="Metro " dataDxfId="354" totalsRowDxfId="353"/>
    <tableColumn id="3" name="Rural" dataDxfId="352" totalsRowDxfId="351"/>
    <tableColumn id="4" name="Unknown" dataDxfId="350" totalsRowDxfId="349"/>
    <tableColumn id="5" name="Total" dataDxfId="348" totalsRowDxfId="347">
      <calculatedColumnFormula>SUM(Table41[[Metro ]:[Unknown]])</calculatedColumnFormula>
    </tableColumn>
  </tableColumns>
  <tableStyleInfo name="TableStyleLight9 2" showFirstColumn="0" showLastColumn="0" showRowStripes="1" showColumnStripes="0"/>
</table>
</file>

<file path=xl/tables/table35.xml><?xml version="1.0" encoding="utf-8"?>
<table xmlns="http://schemas.openxmlformats.org/spreadsheetml/2006/main" id="42" name="Table42" displayName="Table42" ref="A110:F123" totalsRowShown="0" headerRowDxfId="346" dataDxfId="345">
  <autoFilter ref="A110:F123"/>
  <tableColumns count="6">
    <tableColumn id="1" name="Unit Code" dataDxfId="344"/>
    <tableColumn id="2" name="Unit Description" dataDxfId="343"/>
    <tableColumn id="3" name="Metro " dataDxfId="342"/>
    <tableColumn id="4" name="Rural" dataDxfId="341"/>
    <tableColumn id="5" name="Unknown" dataDxfId="340"/>
    <tableColumn id="6" name="Total" dataDxfId="339">
      <calculatedColumnFormula>SUM(C111:E111)</calculatedColumnFormula>
    </tableColumn>
  </tableColumns>
  <tableStyleInfo name="TableStyleLight9 2" showFirstColumn="0" showLastColumn="0" showRowStripes="1" showColumnStripes="0"/>
</table>
</file>

<file path=xl/tables/table36.xml><?xml version="1.0" encoding="utf-8"?>
<table xmlns="http://schemas.openxmlformats.org/spreadsheetml/2006/main" id="43" name="Table43" displayName="Table43" ref="A131:F137" totalsRowCount="1" headerRowDxfId="338" totalsRowDxfId="337">
  <autoFilter ref="A131:F136"/>
  <tableColumns count="6">
    <tableColumn id="1" name="Satisfaction rating" totalsRowLabel="Total" dataDxfId="336" totalsRowDxfId="335"/>
    <tableColumn id="2" name="Metro" totalsRowFunction="sum" dataDxfId="334" totalsRowDxfId="333"/>
    <tableColumn id="3" name="Rural" totalsRowFunction="sum" dataDxfId="332" totalsRowDxfId="331"/>
    <tableColumn id="4" name="Unknown" totalsRowFunction="sum" dataDxfId="330" totalsRowDxfId="329"/>
    <tableColumn id="5" name=" Total" totalsRowFunction="sum" dataDxfId="328" totalsRowDxfId="327">
      <calculatedColumnFormula>SUM(Table43[[#This Row],[Metro]:[Unknown]])</calculatedColumnFormula>
    </tableColumn>
    <tableColumn id="6" name="% total" totalsRowFunction="sum" dataDxfId="326" totalsRowDxfId="325">
      <calculatedColumnFormula>Table43[[#This Row],[ Total]]/Table43[[#Totals],[ Total]]</calculatedColumnFormula>
    </tableColumn>
  </tableColumns>
  <tableStyleInfo name="TableStyleLight9 2" showFirstColumn="0" showLastColumn="0" showRowStripes="1" showColumnStripes="0"/>
</table>
</file>

<file path=xl/tables/table37.xml><?xml version="1.0" encoding="utf-8"?>
<table xmlns="http://schemas.openxmlformats.org/spreadsheetml/2006/main" id="44" name="Table44" displayName="Table44" ref="A144:F147" totalsRowCount="1" headerRowDxfId="324" dataDxfId="323" totalsRowDxfId="322">
  <autoFilter ref="A144:F146"/>
  <tableColumns count="6">
    <tableColumn id="1" name="Accredited to work with forensic clients" totalsRowLabel="Total" dataDxfId="321" totalsRowDxfId="320"/>
    <tableColumn id="2" name="Metro" totalsRowFunction="sum" dataDxfId="319" totalsRowDxfId="318"/>
    <tableColumn id="3" name="Rural" totalsRowFunction="sum" dataDxfId="317" totalsRowDxfId="316"/>
    <tableColumn id="4" name="Unknown" totalsRowFunction="sum" dataDxfId="315" totalsRowDxfId="314"/>
    <tableColumn id="5" name=" Total" totalsRowFunction="sum" dataDxfId="313" totalsRowDxfId="312">
      <calculatedColumnFormula>SUM(Table44[[#This Row],[Metro]:[Unknown]])</calculatedColumnFormula>
    </tableColumn>
    <tableColumn id="6" name="% total" totalsRowFunction="sum" dataDxfId="311" totalsRowDxfId="310" dataCellStyle="Percent">
      <calculatedColumnFormula>Table44[[#This Row],[ Total]]/Table44[[#Totals],[ Total]]</calculatedColumnFormula>
    </tableColumn>
  </tableColumns>
  <tableStyleInfo name="TableStyleLight9 2" showFirstColumn="0" showLastColumn="0" showRowStripes="1" showColumnStripes="0"/>
</table>
</file>

<file path=xl/tables/table38.xml><?xml version="1.0" encoding="utf-8"?>
<table xmlns="http://schemas.openxmlformats.org/spreadsheetml/2006/main" id="71" name="Table4472" displayName="Table4472" ref="A154:C157" totalsRowCount="1" headerRowDxfId="309" dataDxfId="308" totalsRowDxfId="307">
  <autoFilter ref="A154:C156"/>
  <tableColumns count="3">
    <tableColumn id="1" name="First role in AOD" totalsRowLabel="Total" dataDxfId="306" totalsRowDxfId="305" dataCellStyle="Good"/>
    <tableColumn id="2" name="Frequency" totalsRowFunction="sum" dataDxfId="304" totalsRowDxfId="303"/>
    <tableColumn id="3" name="% total" totalsRowFunction="sum" dataDxfId="302" totalsRowDxfId="301" dataCellStyle="Percent"/>
  </tableColumns>
  <tableStyleInfo name="TableStyleLight9 2" showFirstColumn="0" showLastColumn="0" showRowStripes="1" showColumnStripes="0"/>
</table>
</file>

<file path=xl/tables/table39.xml><?xml version="1.0" encoding="utf-8"?>
<table xmlns="http://schemas.openxmlformats.org/spreadsheetml/2006/main" id="72" name="Table447273" displayName="Table447273" ref="A164:E172" totalsRowCount="1" headerRowDxfId="300" dataDxfId="299" totalsRowDxfId="298">
  <autoFilter ref="A164:E171"/>
  <tableColumns count="5">
    <tableColumn id="1" name="Years in current organisation" totalsRowLabel="Total" dataDxfId="297" totalsRowDxfId="296" dataCellStyle="Good"/>
    <tableColumn id="2" name="Metro" totalsRowFunction="sum" dataDxfId="295" totalsRowDxfId="294" dataCellStyle="Percent"/>
    <tableColumn id="3" name="Rural" totalsRowFunction="sum" dataDxfId="293" totalsRowDxfId="292" dataCellStyle="Percent"/>
    <tableColumn id="4" name="Unknown location" totalsRowFunction="sum" dataDxfId="291" totalsRowDxfId="290" dataCellStyle="Percent"/>
    <tableColumn id="5" name="Total (n=587)" totalsRowFunction="sum" dataDxfId="289" totalsRowDxfId="288" dataCellStyle="Percent"/>
  </tableColumns>
  <tableStyleInfo name="TableStyleLight9 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53:C56" totalsRowCount="1" headerRowDxfId="631" dataDxfId="630" totalsRowDxfId="629">
  <autoFilter ref="A53:C55"/>
  <tableColumns count="3">
    <tableColumn id="1" name="Location" totalsRowLabel="Total" dataDxfId="628" totalsRowDxfId="627"/>
    <tableColumn id="2" name="Frequency" totalsRowFunction="sum" dataDxfId="626" totalsRowDxfId="625"/>
    <tableColumn id="3" name="% total" totalsRowFunction="sum" dataDxfId="624" totalsRowDxfId="623">
      <calculatedColumnFormula>Table4[[#This Row],[Frequency]]/Table4[[#Totals],[Frequency]]</calculatedColumnFormula>
    </tableColumn>
  </tableColumns>
  <tableStyleInfo name="TableStyleLight9 2" showFirstColumn="0" showLastColumn="0" showRowStripes="1" showColumnStripes="0"/>
</table>
</file>

<file path=xl/tables/table40.xml><?xml version="1.0" encoding="utf-8"?>
<table xmlns="http://schemas.openxmlformats.org/spreadsheetml/2006/main" id="73" name="Table44727374" displayName="Table44727374" ref="A179:E188" totalsRowCount="1" headerRowDxfId="287" dataDxfId="286" totalsRowDxfId="285">
  <autoFilter ref="A179:E187"/>
  <tableColumns count="5">
    <tableColumn id="1" name="Years AOD service experience" totalsRowLabel="Total" dataDxfId="284" totalsRowDxfId="283" dataCellStyle="Good"/>
    <tableColumn id="2" name="Metro" totalsRowFunction="sum" dataDxfId="282" totalsRowDxfId="281" dataCellStyle="Percent"/>
    <tableColumn id="3" name="Rural" totalsRowFunction="sum" dataDxfId="280" totalsRowDxfId="279" dataCellStyle="Percent"/>
    <tableColumn id="4" name="Unknown location" totalsRowFunction="sum" dataDxfId="278" totalsRowDxfId="277" dataCellStyle="Percent"/>
    <tableColumn id="5" name="Total (n=587)" totalsRowFunction="sum" dataDxfId="276" totalsRowDxfId="275" dataCellStyle="Percent"/>
  </tableColumns>
  <tableStyleInfo name="TableStyleLight9 2" showFirstColumn="0" showLastColumn="0" showRowStripes="1" showColumnStripes="0"/>
</table>
</file>

<file path=xl/tables/table41.xml><?xml version="1.0" encoding="utf-8"?>
<table xmlns="http://schemas.openxmlformats.org/spreadsheetml/2006/main" id="75" name="Table4472737476" displayName="Table4472737476" ref="A194:B204" totalsRowCount="1" headerRowDxfId="274" dataDxfId="273" totalsRowDxfId="272">
  <autoFilter ref="A194:B203"/>
  <tableColumns count="2">
    <tableColumn id="1" name="State/Territory" totalsRowLabel="Total" dataDxfId="271" totalsRowDxfId="270" dataCellStyle="Good"/>
    <tableColumn id="2" name="% total (n=609)" totalsRowFunction="sum" dataDxfId="269" totalsRowDxfId="268" dataCellStyle="Percent"/>
  </tableColumns>
  <tableStyleInfo name="TableStyleLight9 2" showFirstColumn="0" showLastColumn="0" showRowStripes="1" showColumnStripes="0"/>
</table>
</file>

<file path=xl/tables/table42.xml><?xml version="1.0" encoding="utf-8"?>
<table xmlns="http://schemas.openxmlformats.org/spreadsheetml/2006/main" id="76" name="Table76" displayName="Table76" ref="A212:B217" totalsRowShown="0" headerRowDxfId="267" dataDxfId="266">
  <autoFilter ref="A212:B217"/>
  <tableColumns count="2">
    <tableColumn id="1" name="Previous Role" dataDxfId="265"/>
    <tableColumn id="2" name="% total (n=609)" dataDxfId="264"/>
  </tableColumns>
  <tableStyleInfo name="TableStyleLight9 2" showFirstColumn="0" showLastColumn="0" showRowStripes="1" showColumnStripes="0"/>
</table>
</file>

<file path=xl/tables/table43.xml><?xml version="1.0" encoding="utf-8"?>
<table xmlns="http://schemas.openxmlformats.org/spreadsheetml/2006/main" id="77" name="Table7678" displayName="Table7678" ref="A235:B249" totalsRowShown="0" headerRowDxfId="263" dataDxfId="262">
  <autoFilter ref="A235:B249"/>
  <tableColumns count="2">
    <tableColumn id="1" name="Previous Role" dataDxfId="261"/>
    <tableColumn id="2" name="% total (n=609)" dataDxfId="260"/>
  </tableColumns>
  <tableStyleInfo name="TableStyleLight9 2" showFirstColumn="0" showLastColumn="0" showRowStripes="1" showColumnStripes="0"/>
</table>
</file>

<file path=xl/tables/table44.xml><?xml version="1.0" encoding="utf-8"?>
<table xmlns="http://schemas.openxmlformats.org/spreadsheetml/2006/main" id="78" name="Table78" displayName="Table78" ref="A225:B227" totalsRowShown="0" headerRowDxfId="259" dataDxfId="258">
  <autoFilter ref="A225:B227"/>
  <tableColumns count="2">
    <tableColumn id="1" name="Previously worked in sectors outside of AOD that support work in current AOD role" dataDxfId="257"/>
    <tableColumn id="2" name="% total (n=609)" dataDxfId="256"/>
  </tableColumns>
  <tableStyleInfo name="TableStyleLight9 2" showFirstColumn="0" showLastColumn="0" showRowStripes="1" showColumnStripes="0"/>
</table>
</file>

<file path=xl/tables/table45.xml><?xml version="1.0" encoding="utf-8"?>
<table xmlns="http://schemas.openxmlformats.org/spreadsheetml/2006/main" id="45" name="Table45" displayName="Table45" ref="A6:C41" totalsRowShown="0" headerRowDxfId="255" dataDxfId="254">
  <autoFilter ref="A6:C41"/>
  <tableColumns count="3">
    <tableColumn id="1" name="Skill" dataDxfId="253"/>
    <tableColumn id="2" name="Nominated in top 5" dataDxfId="252"/>
    <tableColumn id="3" name="Need further Training" dataDxfId="251"/>
  </tableColumns>
  <tableStyleInfo name="TableStyleLight9 2" showFirstColumn="0" showLastColumn="0" showRowStripes="1" showColumnStripes="0"/>
</table>
</file>

<file path=xl/tables/table46.xml><?xml version="1.0" encoding="utf-8"?>
<table xmlns="http://schemas.openxmlformats.org/spreadsheetml/2006/main" id="46" name="Table46" displayName="Table46" ref="A48:B75" totalsRowShown="0" headerRowDxfId="250" dataDxfId="249">
  <autoFilter ref="A48:B75"/>
  <tableColumns count="2">
    <tableColumn id="1" name="Skill" dataDxfId="248"/>
    <tableColumn id="2" name="Frequency" dataDxfId="247"/>
  </tableColumns>
  <tableStyleInfo name="TableStyleLight9 2" showFirstColumn="0" showLastColumn="0" showRowStripes="1" showColumnStripes="0"/>
</table>
</file>

<file path=xl/tables/table47.xml><?xml version="1.0" encoding="utf-8"?>
<table xmlns="http://schemas.openxmlformats.org/spreadsheetml/2006/main" id="47" name="Table47" displayName="Table47" ref="A6:G9" totalsRowCount="1" headerRowDxfId="246" dataDxfId="245">
  <autoFilter ref="A6:G8"/>
  <tableColumns count="7">
    <tableColumn id="1" name="Location" totalsRowLabel="Total" dataDxfId="244" totalsRowDxfId="243"/>
    <tableColumn id="2" name="Total department funded EFT" totalsRowFunction="sum" dataDxfId="242" totalsRowDxfId="241"/>
    <tableColumn id="3" name="Vacancy EFT" totalsRowFunction="sum" dataDxfId="240" totalsRowDxfId="239"/>
    <tableColumn id="4" name="Vacancy rate by EFT" totalsRowFunction="average" dataDxfId="238">
      <calculatedColumnFormula>C7/B7</calculatedColumnFormula>
    </tableColumn>
    <tableColumn id="5" name="Total department funded headcount" totalsRowFunction="sum" dataDxfId="237" totalsRowDxfId="236"/>
    <tableColumn id="6" name="Vacancy by headcount" totalsRowFunction="sum" dataDxfId="235" totalsRowDxfId="234"/>
    <tableColumn id="7" name="Vacancy rate by headcount" totalsRowFunction="average" dataDxfId="233" totalsRowDxfId="232">
      <calculatedColumnFormula>F7/E7</calculatedColumnFormula>
    </tableColumn>
  </tableColumns>
  <tableStyleInfo name="TableStyleLight9 2" showFirstColumn="0" showLastColumn="0" showRowStripes="1" showColumnStripes="0"/>
</table>
</file>

<file path=xl/tables/table48.xml><?xml version="1.0" encoding="utf-8"?>
<table xmlns="http://schemas.openxmlformats.org/spreadsheetml/2006/main" id="48" name="Table48" displayName="Table48" ref="A16:D19" totalsRowShown="0" headerRowDxfId="231" dataDxfId="230">
  <autoFilter ref="A16:D19"/>
  <tableColumns count="4">
    <tableColumn id="1" name=" " dataDxfId="229"/>
    <tableColumn id="2" name="Rural" dataDxfId="228"/>
    <tableColumn id="3" name="Metro" dataDxfId="227"/>
    <tableColumn id="4" name="Total" dataDxfId="226"/>
  </tableColumns>
  <tableStyleInfo name="TableStyleLight9 2" showFirstColumn="0" showLastColumn="0" showRowStripes="1" showColumnStripes="0"/>
</table>
</file>

<file path=xl/tables/table49.xml><?xml version="1.0" encoding="utf-8"?>
<table xmlns="http://schemas.openxmlformats.org/spreadsheetml/2006/main" id="49" name="Table49" displayName="Table49" ref="A26:D30" totalsRowCount="1" headerRowDxfId="225" dataDxfId="224" totalsRowDxfId="223">
  <autoFilter ref="A26:D29"/>
  <tableColumns count="4">
    <tableColumn id="1" name="Column1" totalsRowLabel="Total" dataDxfId="222" totalsRowDxfId="221"/>
    <tableColumn id="2" name="% metro agencies (n = 48)" totalsRowFunction="sum" dataDxfId="220" totalsRowDxfId="219" dataCellStyle="Percent"/>
    <tableColumn id="3" name="% rural agencies (n = 33)" totalsRowFunction="sum" dataDxfId="218" totalsRowDxfId="217"/>
    <tableColumn id="4" name="Total (n=81)" totalsRowFunction="sum" dataDxfId="216" totalsRowDxfId="215"/>
  </tableColumns>
  <tableStyleInfo name="TableStyleLight9 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63:F66" totalsRowCount="1" headerRowDxfId="622" dataDxfId="621" totalsRowDxfId="620">
  <autoFilter ref="A63:F65"/>
  <tableColumns count="6">
    <tableColumn id="1" name="Location" totalsRowLabel="Total" dataDxfId="619" totalsRowDxfId="618"/>
    <tableColumn id="2" name="0-9 AOD EFT" totalsRowFunction="sum" dataDxfId="617" totalsRowDxfId="616"/>
    <tableColumn id="3" name="10-19 AOD EFT" totalsRowFunction="sum" dataDxfId="615" totalsRowDxfId="614"/>
    <tableColumn id="4" name="20-29 AOD EFT" totalsRowFunction="sum" dataDxfId="613" totalsRowDxfId="612"/>
    <tableColumn id="5" name="30-39 AOD EFT" totalsRowFunction="sum" dataDxfId="611" totalsRowDxfId="610"/>
    <tableColumn id="6" name="&gt;40 AOD EFT" totalsRowFunction="sum" dataDxfId="609" totalsRowDxfId="608"/>
  </tableColumns>
  <tableStyleInfo name="TableStyleLight9 2" showFirstColumn="0" showLastColumn="0" showRowStripes="1" showColumnStripes="0"/>
</table>
</file>

<file path=xl/tables/table50.xml><?xml version="1.0" encoding="utf-8"?>
<table xmlns="http://schemas.openxmlformats.org/spreadsheetml/2006/main" id="51" name="Table51" displayName="Table51" ref="A6:G14" totalsRowCount="1" headerRowDxfId="214" dataDxfId="213">
  <autoFilter ref="A6:G13"/>
  <tableColumns count="7">
    <tableColumn id="1" name="Length of time in current role" totalsRowLabel="Total" dataDxfId="212" totalsRowDxfId="211"/>
    <tableColumn id="2" name="Male (n=183)" totalsRowFunction="sum" dataDxfId="210" totalsRowDxfId="209"/>
    <tableColumn id="3" name="Female (n=359)" totalsRowFunction="sum" dataDxfId="208" totalsRowDxfId="207"/>
    <tableColumn id="4" name="Metro (n=376)" totalsRowFunction="sum" dataDxfId="206" totalsRowDxfId="205"/>
    <tableColumn id="5" name="Rural (n=161)" totalsRowFunction="sum" dataDxfId="204" totalsRowDxfId="203"/>
    <tableColumn id="6" name="Unknown location (n=5)" totalsRowFunction="sum" dataDxfId="202" totalsRowDxfId="201"/>
    <tableColumn id="7" name="% total" totalsRowFunction="sum" dataDxfId="200" totalsRowDxfId="199"/>
  </tableColumns>
  <tableStyleInfo name="TableStyleLight9 2" showFirstColumn="0" showLastColumn="0" showRowStripes="1" showColumnStripes="0"/>
</table>
</file>

<file path=xl/tables/table51.xml><?xml version="1.0" encoding="utf-8"?>
<table xmlns="http://schemas.openxmlformats.org/spreadsheetml/2006/main" id="52" name="Table52" displayName="Table52" ref="A21:G28" totalsRowCount="1" headerRowDxfId="198" dataDxfId="197">
  <autoFilter ref="A21:G27"/>
  <tableColumns count="7">
    <tableColumn id="1" name="AOD service experience" totalsRowLabel="Total" dataDxfId="196" totalsRowDxfId="195"/>
    <tableColumn id="2" name="Male (n=196)" totalsRowFunction="sum" dataDxfId="194" totalsRowDxfId="193"/>
    <tableColumn id="3" name="Female (n=391)" totalsRowFunction="sum" dataDxfId="192" totalsRowDxfId="191"/>
    <tableColumn id="4" name="Rural (n=176)" totalsRowFunction="sum" dataDxfId="190" totalsRowDxfId="189"/>
    <tableColumn id="5" name="Metro (n=406)" totalsRowFunction="sum" dataDxfId="188" totalsRowDxfId="187"/>
    <tableColumn id="6" name="Unknown location (n=5)" totalsRowFunction="sum" dataDxfId="186" totalsRowDxfId="185"/>
    <tableColumn id="7" name="% total (n=587)" totalsRowFunction="sum" dataDxfId="184" totalsRowDxfId="183"/>
  </tableColumns>
  <tableStyleInfo name="TableStyleLight9 2" showFirstColumn="0" showLastColumn="0" showRowStripes="1" showColumnStripes="0"/>
</table>
</file>

<file path=xl/tables/table52.xml><?xml version="1.0" encoding="utf-8"?>
<table xmlns="http://schemas.openxmlformats.org/spreadsheetml/2006/main" id="54" name="Table54" displayName="Table54" ref="A50:G59" totalsRowCount="1" headerRowDxfId="182" dataDxfId="181">
  <autoFilter ref="A50:G58"/>
  <tableColumns count="7">
    <tableColumn id="1" name="Intention 12 months" totalsRowLabel="Total" dataDxfId="180" totalsRowDxfId="179"/>
    <tableColumn id="2" name="Male (n=189)" totalsRowFunction="sum" dataDxfId="178" totalsRowDxfId="177"/>
    <tableColumn id="3" name="Female (n=379)" totalsRowFunction="sum" dataDxfId="176" totalsRowDxfId="175"/>
    <tableColumn id="4" name="Rural (n=169)" totalsRowFunction="sum" dataDxfId="174" totalsRowDxfId="173"/>
    <tableColumn id="5" name="Metro (n=394)" totalsRowFunction="sum" dataDxfId="172" totalsRowDxfId="171"/>
    <tableColumn id="6" name="Unknown location (n=5)" totalsRowFunction="sum" dataDxfId="170" totalsRowDxfId="169"/>
    <tableColumn id="7" name="Total (n=568)" totalsRowFunction="sum" dataDxfId="168"/>
  </tableColumns>
  <tableStyleInfo name="TableStyleLight9 2" showFirstColumn="0" showLastColumn="0" showRowStripes="1" showColumnStripes="0"/>
</table>
</file>

<file path=xl/tables/table53.xml><?xml version="1.0" encoding="utf-8"?>
<table xmlns="http://schemas.openxmlformats.org/spreadsheetml/2006/main" id="55" name="Table55" displayName="Table55" ref="A66:G75" totalsRowCount="1" headerRowDxfId="167" dataDxfId="166">
  <autoFilter ref="A66:G74"/>
  <tableColumns count="7">
    <tableColumn id="1" name="Intention 3 years" totalsRowLabel="Total" dataDxfId="165" totalsRowDxfId="164"/>
    <tableColumn id="2" name="Male (n=189)" totalsRowFunction="sum" dataDxfId="163" totalsRowDxfId="162"/>
    <tableColumn id="3" name="Female (n=379)" totalsRowFunction="sum" dataDxfId="161" totalsRowDxfId="160"/>
    <tableColumn id="4" name="Rural (n=169)" totalsRowFunction="sum" dataDxfId="159" totalsRowDxfId="158"/>
    <tableColumn id="5" name="Metro (n=394)" totalsRowFunction="sum" dataDxfId="157" totalsRowDxfId="156"/>
    <tableColumn id="6" name="Unknown location (n=5)" totalsRowFunction="sum" dataDxfId="155" totalsRowDxfId="154"/>
    <tableColumn id="7" name="Total (n=568)" totalsRowFunction="sum" dataDxfId="153" totalsRowDxfId="152"/>
  </tableColumns>
  <tableStyleInfo name="TableStyleLight9 2" showFirstColumn="0" showLastColumn="0" showRowStripes="1" showColumnStripes="0"/>
</table>
</file>

<file path=xl/tables/table54.xml><?xml version="1.0" encoding="utf-8"?>
<table xmlns="http://schemas.openxmlformats.org/spreadsheetml/2006/main" id="56" name="Table56" displayName="Table56" ref="A83:G89" totalsRowCount="1" headerRowDxfId="151" dataDxfId="150" totalsRowDxfId="149">
  <autoFilter ref="A83:G88"/>
  <tableColumns count="7">
    <tableColumn id="1" name="Satisfaction level" totalsRowLabel="Total" dataDxfId="148" totalsRowDxfId="147"/>
    <tableColumn id="2" name="Male (n=189)" totalsRowFunction="sum" dataDxfId="146" totalsRowDxfId="145"/>
    <tableColumn id="3" name="Female (n=379)" totalsRowFunction="sum" dataDxfId="144" totalsRowDxfId="143"/>
    <tableColumn id="4" name="Rural (n=169)" totalsRowFunction="sum" dataDxfId="142" totalsRowDxfId="141"/>
    <tableColumn id="5" name="Metro (n=394)" totalsRowFunction="sum" dataDxfId="140" totalsRowDxfId="139"/>
    <tableColumn id="6" name="Unknown location (n=5)" totalsRowFunction="sum" dataDxfId="138" totalsRowDxfId="137"/>
    <tableColumn id="7" name="Total (n=568)" totalsRowFunction="sum" dataDxfId="136" totalsRowDxfId="135"/>
  </tableColumns>
  <tableStyleInfo name="TableStyleLight9 2" showFirstColumn="0" showLastColumn="0" showRowStripes="1" showColumnStripes="0"/>
</table>
</file>

<file path=xl/tables/table55.xml><?xml version="1.0" encoding="utf-8"?>
<table xmlns="http://schemas.openxmlformats.org/spreadsheetml/2006/main" id="57" name="Table57" displayName="Table57" ref="A97:B102" totalsRowShown="0" headerRowDxfId="134" dataDxfId="133">
  <autoFilter ref="A97:B102"/>
  <tableColumns count="2">
    <tableColumn id="1" name="Main reasons for entering the PDRSS workforce" dataDxfId="132"/>
    <tableColumn id="2" name="Frequency" dataDxfId="131"/>
  </tableColumns>
  <tableStyleInfo name="TableStyleLight9 2" showFirstColumn="0" showLastColumn="0" showRowStripes="1" showColumnStripes="0"/>
</table>
</file>

<file path=xl/tables/table56.xml><?xml version="1.0" encoding="utf-8"?>
<table xmlns="http://schemas.openxmlformats.org/spreadsheetml/2006/main" id="58" name="Table58" displayName="Table58" ref="A109:C112" totalsRowCount="1" headerRowDxfId="130">
  <autoFilter ref="A109:C111"/>
  <tableColumns count="3">
    <tableColumn id="1" name="Region" totalsRowLabel="Total" dataDxfId="129" totalsRowDxfId="128"/>
    <tableColumn id="2" name="Total department-funded headcount" totalsRowFunction="sum" dataDxfId="127" totalsRowDxfId="126"/>
    <tableColumn id="3" name="Departures by headcount" totalsRowFunction="sum" dataDxfId="125" totalsRowDxfId="124"/>
  </tableColumns>
  <tableStyleInfo name="TableStyleLight9 2" showFirstColumn="0" showLastColumn="0" showRowStripes="1" showColumnStripes="0"/>
</table>
</file>

<file path=xl/tables/table57.xml><?xml version="1.0" encoding="utf-8"?>
<table xmlns="http://schemas.openxmlformats.org/spreadsheetml/2006/main" id="59" name="Table59" displayName="Table59" ref="A119:D139" headerRowDxfId="123" dataDxfId="122">
  <autoFilter ref="A119:D139"/>
  <tableColumns count="4">
    <tableColumn id="1" name="Destination" totalsRowLabel="Total" dataDxfId="121" totalsRowDxfId="120"/>
    <tableColumn id="2" name="Rural" totalsRowFunction="sum" dataDxfId="119" totalsRowDxfId="118"/>
    <tableColumn id="3" name="Metro" dataDxfId="117" totalsRowDxfId="116"/>
    <tableColumn id="4" name="Total" totalsRowFunction="sum" dataDxfId="115" totalsRowDxfId="114">
      <calculatedColumnFormula>SUM(B120:C120)</calculatedColumnFormula>
    </tableColumn>
  </tableColumns>
  <tableStyleInfo name="TableStyleLight9 2" showFirstColumn="0" showLastColumn="0" showRowStripes="1" showColumnStripes="0"/>
</table>
</file>

<file path=xl/tables/table58.xml><?xml version="1.0" encoding="utf-8"?>
<table xmlns="http://schemas.openxmlformats.org/spreadsheetml/2006/main" id="60" name="Table60" displayName="Table60" ref="A146:C153" totalsRowShown="0" headerRowDxfId="113" dataDxfId="112">
  <autoFilter ref="A146:C153"/>
  <tableColumns count="3">
    <tableColumn id="1" name="Method" dataDxfId="111"/>
    <tableColumn id="2" name="Number of agencies that cited this reason" dataDxfId="110"/>
    <tableColumn id="3" name="% of agencies (n=76)" dataDxfId="109">
      <calculatedColumnFormula>B147/76</calculatedColumnFormula>
    </tableColumn>
  </tableColumns>
  <tableStyleInfo name="TableStyleLight9 2" showFirstColumn="0" showLastColumn="0" showRowStripes="1" showColumnStripes="0"/>
</table>
</file>

<file path=xl/tables/table59.xml><?xml version="1.0" encoding="utf-8"?>
<table xmlns="http://schemas.openxmlformats.org/spreadsheetml/2006/main" id="18" name="Table18" displayName="Table18" ref="A160:C169" totalsRowShown="0" headerRowDxfId="108" dataDxfId="107">
  <autoFilter ref="A160:C169"/>
  <tableColumns count="3">
    <tableColumn id="1" name="Barrier" dataDxfId="106"/>
    <tableColumn id="2" name="Number of agencies that cited this reason" dataDxfId="105"/>
    <tableColumn id="3" name="% of agencies (n=77)" dataDxfId="104">
      <calculatedColumnFormula>B161/77</calculatedColumnFormula>
    </tableColumn>
  </tableColumns>
  <tableStyleInfo name="TableStyleLight9 2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73:C78" totalsRowCount="1" headerRowDxfId="607" dataDxfId="606" totalsRowDxfId="605">
  <autoFilter ref="A73:C77"/>
  <tableColumns count="3">
    <tableColumn id="1" name="Employment type" totalsRowLabel="Total" dataDxfId="604" totalsRowDxfId="603"/>
    <tableColumn id="2" name="Total headcount" totalsRowFunction="sum" dataDxfId="602" totalsRowDxfId="601">
      <calculatedColumnFormula>C74*1470</calculatedColumnFormula>
    </tableColumn>
    <tableColumn id="3" name="% total" totalsRowFunction="sum" dataDxfId="600" totalsRowDxfId="599"/>
  </tableColumns>
  <tableStyleInfo name="TableStyleLight9 2" showFirstColumn="0" showLastColumn="0" showRowStripes="1" showColumnStripes="0"/>
</table>
</file>

<file path=xl/tables/table60.xml><?xml version="1.0" encoding="utf-8"?>
<table xmlns="http://schemas.openxmlformats.org/spreadsheetml/2006/main" id="20" name="Table20" displayName="Table20" ref="A176:C188" totalsRowShown="0" headerRowDxfId="103" dataDxfId="102">
  <autoFilter ref="A176:C188"/>
  <sortState ref="A182:C193">
    <sortCondition descending="1" ref="C181:C193"/>
  </sortState>
  <tableColumns count="3">
    <tableColumn id="1" name="Top attributes when recruiting to vacant AOD worker position" dataDxfId="101"/>
    <tableColumn id="2" name="Frequency" dataDxfId="100"/>
    <tableColumn id="3" name="% of agencies (n=77)" dataDxfId="99" dataCellStyle="Percent"/>
  </tableColumns>
  <tableStyleInfo name="TableStyleLight9 2" showFirstColumn="0" showLastColumn="0" showRowStripes="1" showColumnStripes="0"/>
</table>
</file>

<file path=xl/tables/table61.xml><?xml version="1.0" encoding="utf-8"?>
<table xmlns="http://schemas.openxmlformats.org/spreadsheetml/2006/main" id="23" name="Table23" displayName="Table23" ref="A195:C216" totalsRowShown="0" headerRowDxfId="98" dataDxfId="97">
  <autoFilter ref="A195:C216"/>
  <tableColumns count="3">
    <tableColumn id="1" name="Internal learning and development activity" dataDxfId="96"/>
    <tableColumn id="2" name="Frequency" dataDxfId="95"/>
    <tableColumn id="3" name="% of agencies (n=76)" dataDxfId="94">
      <calculatedColumnFormula>B196/76</calculatedColumnFormula>
    </tableColumn>
  </tableColumns>
  <tableStyleInfo name="TableStyleLight9 2" showFirstColumn="0" showLastColumn="0" showRowStripes="1" showColumnStripes="0"/>
</table>
</file>

<file path=xl/tables/table62.xml><?xml version="1.0" encoding="utf-8"?>
<table xmlns="http://schemas.openxmlformats.org/spreadsheetml/2006/main" id="79" name="Table79" displayName="Table79" ref="A224:B230" totalsRowShown="0" headerRowDxfId="93" dataDxfId="92">
  <autoFilter ref="A224:B230"/>
  <tableColumns count="2">
    <tableColumn id="1" name="Age intending to exit" dataDxfId="91"/>
    <tableColumn id="2" name="% total (n=554)" dataDxfId="90"/>
  </tableColumns>
  <tableStyleInfo name="TableStyleLight9 2" showFirstColumn="0" showLastColumn="0" showRowStripes="1" showColumnStripes="0"/>
</table>
</file>

<file path=xl/tables/table63.xml><?xml version="1.0" encoding="utf-8"?>
<table xmlns="http://schemas.openxmlformats.org/spreadsheetml/2006/main" id="61" name="Table61" displayName="Table61" ref="A6:H16" totalsRowShown="0" headerRowDxfId="89" dataDxfId="88">
  <tableColumns count="8">
    <tableColumn id="1" name="Method" dataDxfId="87"/>
    <tableColumn id="2" name="Not effective at all" dataDxfId="86"/>
    <tableColumn id="3" name="Marginally effective" dataDxfId="85"/>
    <tableColumn id="4" name="Effective" dataDxfId="84"/>
    <tableColumn id="5" name="Very effective" dataDxfId="83"/>
    <tableColumn id="6" name="Extremely Effective" dataDxfId="82"/>
    <tableColumn id="7" name="Don't use" dataDxfId="81"/>
    <tableColumn id="8" name="Average score" dataDxfId="80">
      <calculatedColumnFormula>((B7*$B$7)+(C7*$C$7)+(D7*$D$7)+(E7*$E$7)+(F7*$F$7))/(SUM(B7,C7,D7,E7,F7))</calculatedColumnFormula>
    </tableColumn>
  </tableColumns>
  <tableStyleInfo name="TableStyleLight9 2" showFirstColumn="0" showLastColumn="0" showRowStripes="1" showColumnStripes="0"/>
</table>
</file>

<file path=xl/tables/table64.xml><?xml version="1.0" encoding="utf-8"?>
<table xmlns="http://schemas.openxmlformats.org/spreadsheetml/2006/main" id="62" name="Table62" displayName="Table62" ref="A36:D44" totalsRowShown="0" headerRowDxfId="79" dataDxfId="78">
  <autoFilter ref="A36:D44"/>
  <tableColumns count="4">
    <tableColumn id="1" name="Barrier" dataDxfId="77"/>
    <tableColumn id="2" name="Rural (n=30)" dataDxfId="76"/>
    <tableColumn id="3" name="Metro (n=47)" dataDxfId="75"/>
    <tableColumn id="4" name="Total (n=77)" dataDxfId="74">
      <calculatedColumnFormula>SUM(B37:C37)</calculatedColumnFormula>
    </tableColumn>
  </tableColumns>
  <tableStyleInfo name="TableStyleLight9 2" showFirstColumn="0" showLastColumn="0" showRowStripes="1" showColumnStripes="0"/>
</table>
</file>

<file path=xl/tables/table65.xml><?xml version="1.0" encoding="utf-8"?>
<table xmlns="http://schemas.openxmlformats.org/spreadsheetml/2006/main" id="63" name="Table63" displayName="Table63" ref="A51:C63" totalsRowShown="0" headerRowDxfId="73" dataDxfId="72">
  <autoFilter ref="A51:C63"/>
  <tableColumns count="3">
    <tableColumn id="1" name="Personal or professional attribute" dataDxfId="71"/>
    <tableColumn id="2" name="Number of agencies that cited this reason" dataDxfId="70"/>
    <tableColumn id="3" name="% of agencies (n=77)" dataDxfId="69"/>
  </tableColumns>
  <tableStyleInfo name="TableStyleLight9 2" showFirstColumn="0" showLastColumn="0" showRowStripes="1" showColumnStripes="0"/>
</table>
</file>

<file path=xl/tables/table66.xml><?xml version="1.0" encoding="utf-8"?>
<table xmlns="http://schemas.openxmlformats.org/spreadsheetml/2006/main" id="64" name="Table64" displayName="Table64" ref="A70:C83" totalsRowShown="0" headerRowDxfId="68" dataDxfId="67">
  <autoFilter ref="A70:C83"/>
  <tableColumns count="3">
    <tableColumn id="1" name="Personal or professional attribute" dataDxfId="66"/>
    <tableColumn id="2" name="Number of agencies that cited this reason" dataDxfId="65"/>
    <tableColumn id="3" name="% of agencies (n=77)" dataDxfId="64"/>
  </tableColumns>
  <tableStyleInfo name="TableStyleLight9 2" showFirstColumn="0" showLastColumn="0" showRowStripes="1" showColumnStripes="0"/>
</table>
</file>

<file path=xl/tables/table67.xml><?xml version="1.0" encoding="utf-8"?>
<table xmlns="http://schemas.openxmlformats.org/spreadsheetml/2006/main" id="65" name="Table65" displayName="Table65" ref="A90:C115" totalsRowShown="0" headerRowDxfId="63" dataDxfId="62">
  <autoFilter ref="A90:C115"/>
  <tableColumns count="3">
    <tableColumn id="1" name="Skill or ability" dataDxfId="61"/>
    <tableColumn id="2" name="Number of agencies that cited this reason (of 77 agencies)" dataDxfId="60"/>
    <tableColumn id="3" name="% of agencies (n=77)" dataDxfId="59"/>
  </tableColumns>
  <tableStyleInfo name="TableStyleLight9 2" showFirstColumn="0" showLastColumn="0" showRowStripes="1" showColumnStripes="0"/>
</table>
</file>

<file path=xl/tables/table68.xml><?xml version="1.0" encoding="utf-8"?>
<table xmlns="http://schemas.openxmlformats.org/spreadsheetml/2006/main" id="74" name="Table74" displayName="Table74" ref="A23:C31" totalsRowShown="0" headerRowDxfId="58" dataDxfId="57">
  <autoFilter ref="A23:C31"/>
  <tableColumns count="3">
    <tableColumn id="1" name="Medium" dataDxfId="56"/>
    <tableColumn id="2" name="Frequency" dataDxfId="55"/>
    <tableColumn id="3" name="% total (n=602)" dataDxfId="54">
      <calculatedColumnFormula>B24/602</calculatedColumnFormula>
    </tableColumn>
  </tableColumns>
  <tableStyleInfo name="TableStyleLight9 2" showFirstColumn="0" showLastColumn="0" showRowStripes="1" showColumnStripes="0"/>
</table>
</file>

<file path=xl/tables/table69.xml><?xml version="1.0" encoding="utf-8"?>
<table xmlns="http://schemas.openxmlformats.org/spreadsheetml/2006/main" id="66" name="Table66" displayName="Table66" ref="A6:C42" totalsRowShown="0" headerRowDxfId="53" dataDxfId="52">
  <autoFilter ref="A6:C42"/>
  <tableColumns count="3">
    <tableColumn id="1" name="Learning and development initiative/training" dataDxfId="51"/>
    <tableColumn id="2" name="Number of agencies that cited this reason" dataDxfId="50"/>
    <tableColumn id="3" name="% total (n=76)" dataDxfId="49"/>
  </tableColumns>
  <tableStyleInfo name="TableStyleLight9 2" showFirstColumn="0" showLastColumn="0" showRowStripes="1" showColumnStripes="0"/>
</table>
</file>

<file path=xl/tables/table7.xml><?xml version="1.0" encoding="utf-8"?>
<table xmlns="http://schemas.openxmlformats.org/spreadsheetml/2006/main" id="8" name="Table29" displayName="Table29" ref="A33:E36" totalsRowCount="1" headerRowDxfId="598" dataDxfId="597" totalsRowDxfId="596">
  <autoFilter ref="A33:E35"/>
  <tableColumns count="5">
    <tableColumn id="1" name="Funding Source" totalsRowLabel="Total" dataDxfId="595" totalsRowDxfId="594"/>
    <tableColumn id="2" name="Headcount" totalsRowFunction="sum" dataDxfId="593" totalsRowDxfId="592"/>
    <tableColumn id="3" name="% total headcount" totalsRowFunction="sum" dataDxfId="591" totalsRowDxfId="590">
      <calculatedColumnFormula>B34/(SUM($B$18:$B$25))</calculatedColumnFormula>
    </tableColumn>
    <tableColumn id="4" name="EFT" totalsRowFunction="sum" dataDxfId="589" totalsRowDxfId="588"/>
    <tableColumn id="5" name="% total EFT" totalsRowFunction="sum" dataDxfId="587" totalsRowDxfId="586">
      <calculatedColumnFormula>D34/(SUM($D$18:$D$25))</calculatedColumnFormula>
    </tableColumn>
  </tableColumns>
  <tableStyleInfo name="TableStyleLight9" showFirstColumn="0" showLastColumn="0" showRowStripes="1" showColumnStripes="0"/>
</table>
</file>

<file path=xl/tables/table70.xml><?xml version="1.0" encoding="utf-8"?>
<table xmlns="http://schemas.openxmlformats.org/spreadsheetml/2006/main" id="67" name="Table67" displayName="Table67" ref="A49:C59" totalsRowShown="0" headerRowDxfId="48" dataDxfId="47">
  <autoFilter ref="A49:C59"/>
  <tableColumns count="3">
    <tableColumn id="1" name="Learning and development initiative/training" dataDxfId="46"/>
    <tableColumn id="2" name="Number of agencies that cited this reason" dataDxfId="45"/>
    <tableColumn id="3" name="% total  (n=76)" dataDxfId="44">
      <calculatedColumnFormula>(B50/76)</calculatedColumnFormula>
    </tableColumn>
  </tableColumns>
  <tableStyleInfo name="TableStyleLight9 2" showFirstColumn="0" showLastColumn="0" showRowStripes="1" showColumnStripes="0"/>
</table>
</file>

<file path=xl/tables/table71.xml><?xml version="1.0" encoding="utf-8"?>
<table xmlns="http://schemas.openxmlformats.org/spreadsheetml/2006/main" id="68" name="Table68" displayName="Table68" ref="A67:B88" totalsRowShown="0" headerRowDxfId="43" dataDxfId="42">
  <autoFilter ref="A67:B88"/>
  <tableColumns count="2">
    <tableColumn id="1" name="Learning and development initiative/training" dataDxfId="41"/>
    <tableColumn id="2" name="Frequency" dataDxfId="40"/>
  </tableColumns>
  <tableStyleInfo name="TableStyleLight9 2" showFirstColumn="0" showLastColumn="0" showRowStripes="1" showColumnStripes="0"/>
</table>
</file>

<file path=xl/tables/table72.xml><?xml version="1.0" encoding="utf-8"?>
<table xmlns="http://schemas.openxmlformats.org/spreadsheetml/2006/main" id="7" name="Table7" displayName="Table7" ref="A94:B99" totalsRowShown="0" headerRowDxfId="39" dataDxfId="38">
  <autoFilter ref="A94:B99"/>
  <tableColumns count="2">
    <tableColumn id="1" name="Learning and development initiative/training" dataDxfId="37"/>
    <tableColumn id="2" name="Frequency" dataDxfId="36"/>
  </tableColumns>
  <tableStyleInfo name="TableStyleLight9 2" showFirstColumn="0" showLastColumn="0" showRowStripes="1" showColumnStripes="0"/>
</table>
</file>

<file path=xl/tables/table73.xml><?xml version="1.0" encoding="utf-8"?>
<table xmlns="http://schemas.openxmlformats.org/spreadsheetml/2006/main" id="12" name="Table12" displayName="Table12" ref="A106:D109" totalsRowCount="1" headerRowDxfId="35" dataDxfId="34">
  <autoFilter ref="A106:D108"/>
  <tableColumns count="4">
    <tableColumn id="1" name="Number of staff requests" totalsRowLabel="Total" dataDxfId="33" totalsRowDxfId="32"/>
    <tableColumn id="2" name="Requests" totalsRowFunction="sum" dataDxfId="31" totalsRowDxfId="30"/>
    <tableColumn id="3" name="Declines" totalsRowFunction="sum" dataDxfId="29" totalsRowDxfId="28"/>
    <tableColumn id="4" name="% declines" dataDxfId="27" totalsRowDxfId="26">
      <calculatedColumnFormula>Table12[[#This Row],[Declines]]/Table12[[#This Row],[Requests]]</calculatedColumnFormula>
    </tableColumn>
  </tableColumns>
  <tableStyleInfo name="TableStyleLight9 2" showFirstColumn="0" showLastColumn="0" showRowStripes="1" showColumnStripes="0"/>
</table>
</file>

<file path=xl/tables/table74.xml><?xml version="1.0" encoding="utf-8"?>
<table xmlns="http://schemas.openxmlformats.org/spreadsheetml/2006/main" id="13" name="Table13" displayName="Table13" ref="A116:D121" totalsRowShown="0" headerRowDxfId="25" dataDxfId="24">
  <autoFilter ref="A116:D121"/>
  <tableColumns count="4">
    <tableColumn id="1" name="Number of staff requests" dataDxfId="23"/>
    <tableColumn id="2" name="Metro" dataDxfId="22"/>
    <tableColumn id="3" name="Rural" dataDxfId="21"/>
    <tableColumn id="4" name="Total" dataDxfId="20"/>
  </tableColumns>
  <tableStyleInfo name="TableStyleLight9 2" showFirstColumn="0" showLastColumn="0" showRowStripes="1" showColumnStripes="0"/>
</table>
</file>

<file path=xl/tables/table75.xml><?xml version="1.0" encoding="utf-8"?>
<table xmlns="http://schemas.openxmlformats.org/spreadsheetml/2006/main" id="16" name="Table16" displayName="Table16" ref="A129:D136" totalsRowCount="1" headerRowDxfId="19" dataDxfId="18">
  <autoFilter ref="A129:D135"/>
  <tableColumns count="4">
    <tableColumn id="1" name="Days" totalsRowLabel="Total" dataDxfId="17" totalsRowDxfId="16"/>
    <tableColumn id="2" name="Metro (n=46)" totalsRowFunction="sum" dataDxfId="15" totalsRowDxfId="14"/>
    <tableColumn id="3" name="Rural (n=30)" totalsRowFunction="sum" dataDxfId="13" totalsRowDxfId="12"/>
    <tableColumn id="4" name="Total (n=76)" totalsRowFunction="sum" dataDxfId="11" totalsRowDxfId="10"/>
  </tableColumns>
  <tableStyleInfo name="TableStyleLight9 2" showFirstColumn="0" showLastColumn="0" showRowStripes="1" showColumnStripes="0"/>
</table>
</file>

<file path=xl/tables/table76.xml><?xml version="1.0" encoding="utf-8"?>
<table xmlns="http://schemas.openxmlformats.org/spreadsheetml/2006/main" id="17" name="Table17" displayName="Table17" ref="A144:D151" totalsRowCount="1" headerRowDxfId="9" dataDxfId="8">
  <autoFilter ref="A144:D150"/>
  <tableColumns count="4">
    <tableColumn id="1" name="Days" totalsRowLabel="Total" dataDxfId="7" totalsRowDxfId="6"/>
    <tableColumn id="2" name="Metro (n=46)" totalsRowFunction="sum" dataDxfId="5" totalsRowDxfId="4"/>
    <tableColumn id="3" name="Rural (n=30)" totalsRowFunction="sum" dataDxfId="3" totalsRowDxfId="2"/>
    <tableColumn id="4" name="Total (n=76)" totalsRowFunction="sum" dataDxfId="1" totalsRowDxfId="0"/>
  </tableColumns>
  <tableStyleInfo name="TableStyleLight9 2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A94:D141" totalsRowShown="0" headerRowDxfId="585" dataDxfId="584">
  <autoFilter ref="A94:D141"/>
  <tableColumns count="4">
    <tableColumn id="2" name="Activity" dataDxfId="583"/>
    <tableColumn id="5" name="Code" dataDxfId="582"/>
    <tableColumn id="3" name="% of total EFT" dataDxfId="581" dataCellStyle="Percent"/>
    <tableColumn id="4" name="% total headcount" dataDxfId="580" dataCellStyle="Percent"/>
  </tableColumns>
  <tableStyleInfo name="TableStyleLight9 2" showFirstColumn="0" showLastColumn="0" showRowStripes="1" showColumnStripes="0"/>
</table>
</file>

<file path=xl/tables/table9.xml><?xml version="1.0" encoding="utf-8"?>
<table xmlns="http://schemas.openxmlformats.org/spreadsheetml/2006/main" id="80" name="Table80" displayName="Table80" ref="A86:D87" totalsRowShown="0" headerRowDxfId="579" dataDxfId="578">
  <autoFilter ref="A86:D87"/>
  <tableColumns count="4">
    <tableColumn id="1" name=" " dataDxfId="577"/>
    <tableColumn id="2" name="Metro" dataDxfId="576"/>
    <tableColumn id="3" name="Rural" dataDxfId="575"/>
    <tableColumn id="4" name="Total" dataDxfId="574"/>
  </tableColumns>
  <tableStyleInfo name="TableStyleLight9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ustom 2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4.xml"/><Relationship Id="rId7" Type="http://schemas.openxmlformats.org/officeDocument/2006/relationships/table" Target="../tables/table68.xml"/><Relationship Id="rId2" Type="http://schemas.openxmlformats.org/officeDocument/2006/relationships/table" Target="../tables/table63.xml"/><Relationship Id="rId1" Type="http://schemas.openxmlformats.org/officeDocument/2006/relationships/printerSettings" Target="../printerSettings/printerSettings10.bin"/><Relationship Id="rId6" Type="http://schemas.openxmlformats.org/officeDocument/2006/relationships/table" Target="../tables/table67.xml"/><Relationship Id="rId5" Type="http://schemas.openxmlformats.org/officeDocument/2006/relationships/table" Target="../tables/table66.xml"/><Relationship Id="rId4" Type="http://schemas.openxmlformats.org/officeDocument/2006/relationships/table" Target="../tables/table65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5.xml"/><Relationship Id="rId3" Type="http://schemas.openxmlformats.org/officeDocument/2006/relationships/table" Target="../tables/table70.xml"/><Relationship Id="rId7" Type="http://schemas.openxmlformats.org/officeDocument/2006/relationships/table" Target="../tables/table74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73.xml"/><Relationship Id="rId5" Type="http://schemas.openxmlformats.org/officeDocument/2006/relationships/table" Target="../tables/table72.xml"/><Relationship Id="rId4" Type="http://schemas.openxmlformats.org/officeDocument/2006/relationships/table" Target="../tables/table71.xml"/><Relationship Id="rId9" Type="http://schemas.openxmlformats.org/officeDocument/2006/relationships/table" Target="../tables/table7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comments" Target="../comments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7.xml"/><Relationship Id="rId3" Type="http://schemas.openxmlformats.org/officeDocument/2006/relationships/table" Target="../tables/table12.xml"/><Relationship Id="rId7" Type="http://schemas.openxmlformats.org/officeDocument/2006/relationships/table" Target="../tables/table16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4.xml"/><Relationship Id="rId3" Type="http://schemas.openxmlformats.org/officeDocument/2006/relationships/table" Target="../tables/table19.xml"/><Relationship Id="rId7" Type="http://schemas.openxmlformats.org/officeDocument/2006/relationships/table" Target="../tables/table23.xml"/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22.xml"/><Relationship Id="rId11" Type="http://schemas.openxmlformats.org/officeDocument/2006/relationships/table" Target="../tables/table27.xml"/><Relationship Id="rId5" Type="http://schemas.openxmlformats.org/officeDocument/2006/relationships/table" Target="../tables/table21.xml"/><Relationship Id="rId10" Type="http://schemas.openxmlformats.org/officeDocument/2006/relationships/table" Target="../tables/table26.xml"/><Relationship Id="rId4" Type="http://schemas.openxmlformats.org/officeDocument/2006/relationships/table" Target="../tables/table20.xml"/><Relationship Id="rId9" Type="http://schemas.openxmlformats.org/officeDocument/2006/relationships/table" Target="../tables/table2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4.xml"/><Relationship Id="rId13" Type="http://schemas.openxmlformats.org/officeDocument/2006/relationships/table" Target="../tables/table39.xml"/><Relationship Id="rId18" Type="http://schemas.openxmlformats.org/officeDocument/2006/relationships/table" Target="../tables/table44.xml"/><Relationship Id="rId3" Type="http://schemas.openxmlformats.org/officeDocument/2006/relationships/table" Target="../tables/table29.xml"/><Relationship Id="rId7" Type="http://schemas.openxmlformats.org/officeDocument/2006/relationships/table" Target="../tables/table33.xml"/><Relationship Id="rId12" Type="http://schemas.openxmlformats.org/officeDocument/2006/relationships/table" Target="../tables/table38.xml"/><Relationship Id="rId17" Type="http://schemas.openxmlformats.org/officeDocument/2006/relationships/table" Target="../tables/table43.xml"/><Relationship Id="rId2" Type="http://schemas.openxmlformats.org/officeDocument/2006/relationships/table" Target="../tables/table28.xml"/><Relationship Id="rId16" Type="http://schemas.openxmlformats.org/officeDocument/2006/relationships/table" Target="../tables/table42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32.xml"/><Relationship Id="rId11" Type="http://schemas.openxmlformats.org/officeDocument/2006/relationships/table" Target="../tables/table37.xml"/><Relationship Id="rId5" Type="http://schemas.openxmlformats.org/officeDocument/2006/relationships/table" Target="../tables/table31.xml"/><Relationship Id="rId15" Type="http://schemas.openxmlformats.org/officeDocument/2006/relationships/table" Target="../tables/table41.xml"/><Relationship Id="rId10" Type="http://schemas.openxmlformats.org/officeDocument/2006/relationships/table" Target="../tables/table36.xml"/><Relationship Id="rId4" Type="http://schemas.openxmlformats.org/officeDocument/2006/relationships/table" Target="../tables/table30.xml"/><Relationship Id="rId9" Type="http://schemas.openxmlformats.org/officeDocument/2006/relationships/table" Target="../tables/table35.xml"/><Relationship Id="rId14" Type="http://schemas.openxmlformats.org/officeDocument/2006/relationships/table" Target="../tables/table40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8.xml"/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49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6.xml"/><Relationship Id="rId13" Type="http://schemas.openxmlformats.org/officeDocument/2006/relationships/table" Target="../tables/table61.xml"/><Relationship Id="rId3" Type="http://schemas.openxmlformats.org/officeDocument/2006/relationships/table" Target="../tables/table51.xml"/><Relationship Id="rId7" Type="http://schemas.openxmlformats.org/officeDocument/2006/relationships/table" Target="../tables/table55.xml"/><Relationship Id="rId12" Type="http://schemas.openxmlformats.org/officeDocument/2006/relationships/table" Target="../tables/table60.xml"/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9.bin"/><Relationship Id="rId6" Type="http://schemas.openxmlformats.org/officeDocument/2006/relationships/table" Target="../tables/table54.xml"/><Relationship Id="rId11" Type="http://schemas.openxmlformats.org/officeDocument/2006/relationships/table" Target="../tables/table59.xml"/><Relationship Id="rId5" Type="http://schemas.openxmlformats.org/officeDocument/2006/relationships/table" Target="../tables/table53.xml"/><Relationship Id="rId10" Type="http://schemas.openxmlformats.org/officeDocument/2006/relationships/table" Target="../tables/table58.xml"/><Relationship Id="rId4" Type="http://schemas.openxmlformats.org/officeDocument/2006/relationships/table" Target="../tables/table52.xml"/><Relationship Id="rId9" Type="http://schemas.openxmlformats.org/officeDocument/2006/relationships/table" Target="../tables/table57.xml"/><Relationship Id="rId14" Type="http://schemas.openxmlformats.org/officeDocument/2006/relationships/table" Target="../tables/table6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115" zoomScaleNormal="115" workbookViewId="0">
      <selection activeCell="G17" sqref="G17"/>
    </sheetView>
  </sheetViews>
  <sheetFormatPr defaultRowHeight="14.25" x14ac:dyDescent="0.2"/>
  <sheetData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&amp;C2013 Victorian AOD Workforce Survey aggregate  report</oddHeader>
    <oddFooter>&amp;A</oddFooter>
  </headerFooter>
  <drawing r:id="rId2"/>
  <legacyDrawing r:id="rId3"/>
  <oleObjects>
    <mc:AlternateContent xmlns:mc="http://schemas.openxmlformats.org/markup-compatibility/2006">
      <mc:Choice Requires="x14">
        <oleObject progId="AcroExch.Document.11" shapeId="20486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638175</xdr:colOff>
                <xdr:row>44</xdr:row>
                <xdr:rowOff>57150</xdr:rowOff>
              </to>
            </anchor>
          </objectPr>
        </oleObject>
      </mc:Choice>
      <mc:Fallback>
        <oleObject progId="AcroExch.Document.11" shapeId="2048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zoomScale="75" zoomScaleNormal="75" zoomScaleSheetLayoutView="75" workbookViewId="0">
      <selection sqref="A1:H1"/>
    </sheetView>
  </sheetViews>
  <sheetFormatPr defaultColWidth="72.296875" defaultRowHeight="18.75" customHeight="1" x14ac:dyDescent="0.25"/>
  <cols>
    <col min="1" max="1" width="52.5" style="2" customWidth="1"/>
    <col min="2" max="2" width="15.09765625" style="2" customWidth="1"/>
    <col min="3" max="3" width="22.796875" style="2" bestFit="1" customWidth="1"/>
    <col min="4" max="4" width="14.296875" style="2" customWidth="1"/>
    <col min="5" max="6" width="15.09765625" style="2" customWidth="1"/>
    <col min="7" max="8" width="20.69921875" style="2" customWidth="1"/>
    <col min="9" max="16384" width="72.296875" style="2"/>
  </cols>
  <sheetData>
    <row r="1" spans="1:8" s="33" customFormat="1" ht="55.5" customHeight="1" x14ac:dyDescent="0.2">
      <c r="A1" s="244" t="s">
        <v>922</v>
      </c>
      <c r="B1" s="244"/>
      <c r="C1" s="244"/>
      <c r="D1" s="244"/>
      <c r="E1" s="244"/>
      <c r="F1" s="244"/>
      <c r="G1" s="244"/>
      <c r="H1" s="244"/>
    </row>
    <row r="3" spans="1:8" ht="18.75" customHeight="1" x14ac:dyDescent="0.25">
      <c r="A3" s="3" t="s">
        <v>115</v>
      </c>
      <c r="B3" s="3" t="s">
        <v>960</v>
      </c>
      <c r="C3" s="3"/>
      <c r="D3" s="3"/>
    </row>
    <row r="4" spans="1:8" s="3" customFormat="1" ht="18.75" customHeight="1" x14ac:dyDescent="0.25">
      <c r="A4" s="4" t="s">
        <v>1</v>
      </c>
      <c r="B4" s="2" t="s">
        <v>699</v>
      </c>
      <c r="C4" s="2"/>
      <c r="D4" s="2"/>
    </row>
    <row r="5" spans="1:8" s="3" customFormat="1" ht="18.75" customHeight="1" x14ac:dyDescent="0.25">
      <c r="A5" s="4"/>
      <c r="B5" s="2"/>
      <c r="C5" s="2"/>
      <c r="D5" s="2"/>
    </row>
    <row r="6" spans="1:8" ht="18.75" customHeight="1" x14ac:dyDescent="0.25">
      <c r="A6" s="83" t="s">
        <v>123</v>
      </c>
      <c r="B6" s="87" t="s">
        <v>343</v>
      </c>
      <c r="C6" s="87" t="s">
        <v>344</v>
      </c>
      <c r="D6" s="87" t="s">
        <v>345</v>
      </c>
      <c r="E6" s="87" t="s">
        <v>346</v>
      </c>
      <c r="F6" s="87" t="s">
        <v>347</v>
      </c>
      <c r="G6" s="87" t="s">
        <v>348</v>
      </c>
      <c r="H6" s="76" t="s">
        <v>349</v>
      </c>
    </row>
    <row r="7" spans="1:8" ht="18.75" customHeight="1" x14ac:dyDescent="0.25">
      <c r="A7" s="151"/>
      <c r="B7" s="152">
        <v>0</v>
      </c>
      <c r="C7" s="152">
        <v>2</v>
      </c>
      <c r="D7" s="152">
        <v>3</v>
      </c>
      <c r="E7" s="152">
        <v>4</v>
      </c>
      <c r="F7" s="152">
        <v>5</v>
      </c>
      <c r="G7" s="152" t="s">
        <v>121</v>
      </c>
      <c r="H7" s="153"/>
    </row>
    <row r="8" spans="1:8" ht="18.75" customHeight="1" x14ac:dyDescent="0.25">
      <c r="A8" s="124" t="s">
        <v>342</v>
      </c>
      <c r="B8" s="90">
        <v>3</v>
      </c>
      <c r="C8" s="150">
        <v>15</v>
      </c>
      <c r="D8" s="90">
        <v>27</v>
      </c>
      <c r="E8" s="150">
        <v>11</v>
      </c>
      <c r="F8" s="90">
        <v>2</v>
      </c>
      <c r="G8" s="150">
        <v>13</v>
      </c>
      <c r="H8" s="150">
        <f>((B8*$B$7)+(C8*$C$7)+(D8*$D$7)+(E8*$E$7)+(F8*$F$7))/(SUM(B8,C8,D8,E8,F8))</f>
        <v>2.8448275862068964</v>
      </c>
    </row>
    <row r="9" spans="1:8" ht="18.75" customHeight="1" x14ac:dyDescent="0.25">
      <c r="A9" s="124" t="s">
        <v>350</v>
      </c>
      <c r="B9" s="90">
        <v>1</v>
      </c>
      <c r="C9" s="150">
        <v>9</v>
      </c>
      <c r="D9" s="90">
        <v>18</v>
      </c>
      <c r="E9" s="150">
        <v>29</v>
      </c>
      <c r="F9" s="90">
        <v>14</v>
      </c>
      <c r="G9" s="150">
        <v>2</v>
      </c>
      <c r="H9" s="150">
        <f t="shared" ref="H9:H16" si="0">((B9*$B$7)+(C9*$C$7)+(D9*$D$7)+(E9*$E$7)+(F9*$F$7))/(SUM(B9,C9,D9,E9,F9))</f>
        <v>3.6338028169014085</v>
      </c>
    </row>
    <row r="10" spans="1:8" ht="18.75" customHeight="1" x14ac:dyDescent="0.25">
      <c r="A10" s="124" t="s">
        <v>351</v>
      </c>
      <c r="B10" s="90">
        <v>3</v>
      </c>
      <c r="C10" s="150">
        <v>5</v>
      </c>
      <c r="D10" s="90">
        <v>7</v>
      </c>
      <c r="E10" s="150">
        <v>4</v>
      </c>
      <c r="F10" s="90">
        <v>0</v>
      </c>
      <c r="G10" s="150">
        <v>37</v>
      </c>
      <c r="H10" s="150">
        <f t="shared" si="0"/>
        <v>2.4736842105263159</v>
      </c>
    </row>
    <row r="11" spans="1:8" ht="18.75" customHeight="1" x14ac:dyDescent="0.25">
      <c r="A11" s="124" t="s">
        <v>70</v>
      </c>
      <c r="B11" s="90">
        <v>2</v>
      </c>
      <c r="C11" s="150">
        <v>5</v>
      </c>
      <c r="D11" s="90">
        <v>11</v>
      </c>
      <c r="E11" s="150">
        <v>4</v>
      </c>
      <c r="F11" s="90">
        <v>4</v>
      </c>
      <c r="G11" s="150">
        <v>33</v>
      </c>
      <c r="H11" s="150">
        <f t="shared" si="0"/>
        <v>3.0384615384615383</v>
      </c>
    </row>
    <row r="12" spans="1:8" ht="18.75" customHeight="1" x14ac:dyDescent="0.25">
      <c r="A12" s="124" t="s">
        <v>71</v>
      </c>
      <c r="B12" s="90">
        <v>0</v>
      </c>
      <c r="C12" s="150">
        <v>13</v>
      </c>
      <c r="D12" s="90">
        <v>25</v>
      </c>
      <c r="E12" s="150">
        <v>18</v>
      </c>
      <c r="F12" s="90">
        <v>6</v>
      </c>
      <c r="G12" s="150">
        <v>6</v>
      </c>
      <c r="H12" s="150">
        <f t="shared" si="0"/>
        <v>3.274193548387097</v>
      </c>
    </row>
    <row r="13" spans="1:8" ht="18.75" customHeight="1" x14ac:dyDescent="0.25">
      <c r="A13" s="124" t="s">
        <v>72</v>
      </c>
      <c r="B13" s="90">
        <v>2</v>
      </c>
      <c r="C13" s="150">
        <v>3</v>
      </c>
      <c r="D13" s="90">
        <v>10</v>
      </c>
      <c r="E13" s="150">
        <v>3</v>
      </c>
      <c r="F13" s="90">
        <v>3</v>
      </c>
      <c r="G13" s="150">
        <v>37</v>
      </c>
      <c r="H13" s="150">
        <f t="shared" si="0"/>
        <v>3</v>
      </c>
    </row>
    <row r="14" spans="1:8" ht="18.75" customHeight="1" x14ac:dyDescent="0.25">
      <c r="A14" s="124" t="s">
        <v>352</v>
      </c>
      <c r="B14" s="90">
        <v>0</v>
      </c>
      <c r="C14" s="150">
        <v>8</v>
      </c>
      <c r="D14" s="90">
        <v>6</v>
      </c>
      <c r="E14" s="150">
        <v>7</v>
      </c>
      <c r="F14" s="90">
        <v>3</v>
      </c>
      <c r="G14" s="150">
        <v>35</v>
      </c>
      <c r="H14" s="150">
        <f t="shared" si="0"/>
        <v>3.2083333333333335</v>
      </c>
    </row>
    <row r="15" spans="1:8" ht="18.75" customHeight="1" x14ac:dyDescent="0.25">
      <c r="A15" s="124" t="s">
        <v>353</v>
      </c>
      <c r="B15" s="90">
        <v>2</v>
      </c>
      <c r="C15" s="150">
        <v>2</v>
      </c>
      <c r="D15" s="90">
        <v>8</v>
      </c>
      <c r="E15" s="150">
        <v>2</v>
      </c>
      <c r="F15" s="90">
        <v>0</v>
      </c>
      <c r="G15" s="150">
        <v>39</v>
      </c>
      <c r="H15" s="150">
        <f t="shared" si="0"/>
        <v>2.5714285714285716</v>
      </c>
    </row>
    <row r="16" spans="1:8" ht="18.75" customHeight="1" x14ac:dyDescent="0.25">
      <c r="A16" s="124" t="s">
        <v>354</v>
      </c>
      <c r="B16" s="90">
        <v>2</v>
      </c>
      <c r="C16" s="150">
        <v>5</v>
      </c>
      <c r="D16" s="90">
        <v>13</v>
      </c>
      <c r="E16" s="150">
        <v>9</v>
      </c>
      <c r="F16" s="90">
        <v>3</v>
      </c>
      <c r="G16" s="150">
        <v>27</v>
      </c>
      <c r="H16" s="150">
        <f t="shared" si="0"/>
        <v>3.125</v>
      </c>
    </row>
    <row r="17" spans="1:8" ht="18.75" customHeight="1" x14ac:dyDescent="0.25">
      <c r="A17" s="14"/>
      <c r="B17" s="15"/>
      <c r="C17" s="15"/>
      <c r="D17" s="15"/>
      <c r="E17" s="15"/>
      <c r="F17" s="15"/>
      <c r="G17" s="15"/>
      <c r="H17" s="15"/>
    </row>
    <row r="20" spans="1:8" ht="18.75" customHeight="1" x14ac:dyDescent="0.25">
      <c r="A20" s="3" t="s">
        <v>118</v>
      </c>
      <c r="B20" s="3" t="s">
        <v>800</v>
      </c>
      <c r="C20"/>
      <c r="D20"/>
      <c r="E20"/>
    </row>
    <row r="21" spans="1:8" ht="18.75" customHeight="1" x14ac:dyDescent="0.25">
      <c r="A21" s="4" t="s">
        <v>1</v>
      </c>
      <c r="B21" s="2" t="s">
        <v>801</v>
      </c>
      <c r="C21"/>
      <c r="D21"/>
      <c r="E21"/>
    </row>
    <row r="22" spans="1:8" ht="18.75" customHeight="1" x14ac:dyDescent="0.25">
      <c r="C22"/>
      <c r="D22"/>
      <c r="E22"/>
    </row>
    <row r="23" spans="1:8" ht="18.75" customHeight="1" x14ac:dyDescent="0.25">
      <c r="A23" s="83" t="s">
        <v>961</v>
      </c>
      <c r="B23" s="87" t="s">
        <v>18</v>
      </c>
      <c r="C23" s="87" t="s">
        <v>809</v>
      </c>
      <c r="D23"/>
      <c r="E23"/>
    </row>
    <row r="24" spans="1:8" ht="18.75" customHeight="1" x14ac:dyDescent="0.25">
      <c r="A24" s="124" t="s">
        <v>799</v>
      </c>
      <c r="B24" s="90">
        <v>414</v>
      </c>
      <c r="C24" s="176">
        <f>B24/602</f>
        <v>0.68770764119601324</v>
      </c>
      <c r="D24"/>
      <c r="E24"/>
    </row>
    <row r="25" spans="1:8" ht="18.75" customHeight="1" x14ac:dyDescent="0.25">
      <c r="A25" s="124" t="s">
        <v>802</v>
      </c>
      <c r="B25" s="90">
        <v>28</v>
      </c>
      <c r="C25" s="176">
        <f t="shared" ref="C25:C31" si="1">B25/602</f>
        <v>4.6511627906976744E-2</v>
      </c>
      <c r="D25"/>
      <c r="E25" s="155"/>
    </row>
    <row r="26" spans="1:8" ht="18.75" customHeight="1" x14ac:dyDescent="0.25">
      <c r="A26" s="124" t="s">
        <v>803</v>
      </c>
      <c r="B26" s="90">
        <v>8</v>
      </c>
      <c r="C26" s="176">
        <f t="shared" si="1"/>
        <v>1.3289036544850499E-2</v>
      </c>
      <c r="D26"/>
      <c r="E26" s="155"/>
      <c r="F26"/>
    </row>
    <row r="27" spans="1:8" ht="18.75" customHeight="1" x14ac:dyDescent="0.25">
      <c r="A27" s="124" t="s">
        <v>804</v>
      </c>
      <c r="B27" s="90">
        <v>55</v>
      </c>
      <c r="C27" s="176">
        <f t="shared" si="1"/>
        <v>9.1362126245847178E-2</v>
      </c>
      <c r="D27"/>
      <c r="E27" s="155"/>
      <c r="F27"/>
    </row>
    <row r="28" spans="1:8" ht="18.75" customHeight="1" x14ac:dyDescent="0.25">
      <c r="A28" s="124" t="s">
        <v>805</v>
      </c>
      <c r="B28" s="90">
        <v>82</v>
      </c>
      <c r="C28" s="176">
        <f t="shared" si="1"/>
        <v>0.13621262458471761</v>
      </c>
      <c r="D28"/>
      <c r="E28"/>
      <c r="F28"/>
    </row>
    <row r="29" spans="1:8" ht="18.75" customHeight="1" x14ac:dyDescent="0.25">
      <c r="A29" s="124" t="s">
        <v>806</v>
      </c>
      <c r="B29" s="90">
        <v>485</v>
      </c>
      <c r="C29" s="176">
        <f t="shared" si="1"/>
        <v>0.80564784053156147</v>
      </c>
      <c r="D29"/>
      <c r="E29"/>
      <c r="F29"/>
    </row>
    <row r="30" spans="1:8" ht="18.75" customHeight="1" x14ac:dyDescent="0.25">
      <c r="A30" s="124" t="s">
        <v>807</v>
      </c>
      <c r="B30" s="90">
        <v>33</v>
      </c>
      <c r="C30" s="176">
        <f t="shared" si="1"/>
        <v>5.4817275747508304E-2</v>
      </c>
      <c r="D30"/>
      <c r="E30"/>
    </row>
    <row r="31" spans="1:8" ht="18.75" customHeight="1" x14ac:dyDescent="0.25">
      <c r="A31" s="124" t="s">
        <v>808</v>
      </c>
      <c r="B31" s="90">
        <v>12</v>
      </c>
      <c r="C31" s="176">
        <f t="shared" si="1"/>
        <v>1.9933554817275746E-2</v>
      </c>
    </row>
    <row r="33" spans="1:8" ht="18.75" customHeight="1" x14ac:dyDescent="0.25">
      <c r="A33" s="3" t="s">
        <v>119</v>
      </c>
      <c r="B33" s="3" t="s">
        <v>962</v>
      </c>
      <c r="C33" s="3"/>
      <c r="D33" s="3"/>
    </row>
    <row r="34" spans="1:8" s="3" customFormat="1" ht="18.75" customHeight="1" x14ac:dyDescent="0.25">
      <c r="A34" s="4" t="s">
        <v>1</v>
      </c>
      <c r="B34" s="2" t="s">
        <v>700</v>
      </c>
      <c r="C34" s="2"/>
      <c r="D34" s="2"/>
    </row>
    <row r="35" spans="1:8" ht="18.75" customHeight="1" x14ac:dyDescent="0.25">
      <c r="A35" s="24"/>
      <c r="D35" s="6"/>
      <c r="E35" s="6"/>
      <c r="F35" s="6"/>
      <c r="G35" s="6"/>
      <c r="H35" s="6"/>
    </row>
    <row r="36" spans="1:8" s="16" customFormat="1" ht="36" x14ac:dyDescent="0.25">
      <c r="A36" s="122" t="s">
        <v>129</v>
      </c>
      <c r="B36" s="76" t="s">
        <v>360</v>
      </c>
      <c r="C36" s="76" t="s">
        <v>361</v>
      </c>
      <c r="D36" s="76" t="s">
        <v>359</v>
      </c>
      <c r="E36" s="6"/>
      <c r="F36" s="6"/>
      <c r="G36" s="6"/>
      <c r="H36" s="6"/>
    </row>
    <row r="37" spans="1:8" s="16" customFormat="1" ht="18" x14ac:dyDescent="0.25">
      <c r="A37" s="124" t="s">
        <v>79</v>
      </c>
      <c r="B37" s="76">
        <v>15</v>
      </c>
      <c r="C37" s="150">
        <v>26</v>
      </c>
      <c r="D37" s="150">
        <f>SUM(B37:C37)</f>
        <v>41</v>
      </c>
      <c r="E37" s="6"/>
      <c r="F37" s="6"/>
      <c r="G37" s="6"/>
      <c r="H37" s="6"/>
    </row>
    <row r="38" spans="1:8" s="16" customFormat="1" ht="36" x14ac:dyDescent="0.25">
      <c r="A38" s="124" t="s">
        <v>355</v>
      </c>
      <c r="B38" s="76">
        <v>21</v>
      </c>
      <c r="C38" s="150">
        <v>35</v>
      </c>
      <c r="D38" s="150">
        <f t="shared" ref="D38:D44" si="2">SUM(B38:C38)</f>
        <v>56</v>
      </c>
      <c r="E38" s="6"/>
      <c r="F38" s="6"/>
      <c r="G38" s="6"/>
      <c r="H38" s="6"/>
    </row>
    <row r="39" spans="1:8" s="16" customFormat="1" ht="36" x14ac:dyDescent="0.25">
      <c r="A39" s="124" t="s">
        <v>80</v>
      </c>
      <c r="B39" s="76">
        <v>2</v>
      </c>
      <c r="C39" s="150">
        <v>13</v>
      </c>
      <c r="D39" s="150">
        <f t="shared" si="2"/>
        <v>15</v>
      </c>
      <c r="E39" s="6"/>
      <c r="F39" s="6"/>
      <c r="G39" s="6"/>
      <c r="H39" s="6"/>
    </row>
    <row r="40" spans="1:8" s="16" customFormat="1" ht="18.75" customHeight="1" x14ac:dyDescent="0.25">
      <c r="A40" s="124" t="s">
        <v>120</v>
      </c>
      <c r="B40" s="76">
        <v>14</v>
      </c>
      <c r="C40" s="150">
        <v>16</v>
      </c>
      <c r="D40" s="150">
        <f t="shared" si="2"/>
        <v>30</v>
      </c>
      <c r="E40" s="6"/>
      <c r="F40" s="6"/>
      <c r="G40" s="6"/>
      <c r="H40" s="6"/>
    </row>
    <row r="41" spans="1:8" s="16" customFormat="1" ht="18.75" customHeight="1" x14ac:dyDescent="0.25">
      <c r="A41" s="124" t="s">
        <v>356</v>
      </c>
      <c r="B41" s="76">
        <v>17</v>
      </c>
      <c r="C41" s="150">
        <v>21</v>
      </c>
      <c r="D41" s="150">
        <f t="shared" si="2"/>
        <v>38</v>
      </c>
      <c r="F41" s="6"/>
      <c r="G41" s="6"/>
      <c r="H41" s="6"/>
    </row>
    <row r="42" spans="1:8" s="16" customFormat="1" ht="36" x14ac:dyDescent="0.25">
      <c r="A42" s="124" t="s">
        <v>81</v>
      </c>
      <c r="B42" s="76">
        <v>11</v>
      </c>
      <c r="C42" s="150">
        <v>3</v>
      </c>
      <c r="D42" s="150">
        <f t="shared" si="2"/>
        <v>14</v>
      </c>
      <c r="E42" s="6"/>
      <c r="F42" s="6"/>
      <c r="G42" s="6"/>
      <c r="H42" s="6"/>
    </row>
    <row r="43" spans="1:8" s="16" customFormat="1" ht="18.75" customHeight="1" x14ac:dyDescent="0.25">
      <c r="A43" s="124" t="s">
        <v>357</v>
      </c>
      <c r="B43" s="76">
        <v>6</v>
      </c>
      <c r="C43" s="150">
        <v>9</v>
      </c>
      <c r="D43" s="150">
        <f t="shared" si="2"/>
        <v>15</v>
      </c>
      <c r="E43" s="6"/>
      <c r="F43" s="6"/>
      <c r="G43" s="6"/>
      <c r="H43" s="6"/>
    </row>
    <row r="44" spans="1:8" s="16" customFormat="1" ht="36" x14ac:dyDescent="0.25">
      <c r="A44" s="124" t="s">
        <v>358</v>
      </c>
      <c r="B44" s="76">
        <v>4</v>
      </c>
      <c r="C44" s="150">
        <v>12</v>
      </c>
      <c r="D44" s="150">
        <f t="shared" si="2"/>
        <v>16</v>
      </c>
      <c r="E44" s="6"/>
      <c r="F44" s="6"/>
      <c r="G44" s="6"/>
      <c r="H44" s="6"/>
    </row>
    <row r="45" spans="1:8" s="16" customFormat="1" ht="18.75" customHeight="1" x14ac:dyDescent="0.25">
      <c r="A45" s="182"/>
      <c r="B45" s="17"/>
      <c r="C45" s="18"/>
      <c r="D45" s="6"/>
      <c r="E45" s="6"/>
      <c r="F45" s="6"/>
      <c r="G45" s="6"/>
      <c r="H45" s="6"/>
    </row>
    <row r="46" spans="1:8" ht="18.75" customHeight="1" x14ac:dyDescent="0.25">
      <c r="A46" s="6"/>
      <c r="B46" s="17"/>
      <c r="C46" s="18"/>
      <c r="D46" s="6"/>
      <c r="E46" s="6"/>
      <c r="F46" s="6"/>
      <c r="G46" s="6"/>
      <c r="H46" s="6"/>
    </row>
    <row r="47" spans="1:8" ht="18.75" customHeight="1" x14ac:dyDescent="0.25">
      <c r="A47" s="14"/>
      <c r="D47" s="6"/>
      <c r="E47" s="6"/>
      <c r="F47" s="6"/>
      <c r="G47" s="6"/>
      <c r="H47" s="6"/>
    </row>
    <row r="48" spans="1:8" ht="18.75" customHeight="1" x14ac:dyDescent="0.25">
      <c r="A48" s="3" t="s">
        <v>416</v>
      </c>
      <c r="B48" s="3" t="s">
        <v>963</v>
      </c>
    </row>
    <row r="49" spans="1:3" ht="18.75" customHeight="1" x14ac:dyDescent="0.25">
      <c r="A49" s="4" t="s">
        <v>1</v>
      </c>
      <c r="B49" s="2" t="s">
        <v>701</v>
      </c>
    </row>
    <row r="50" spans="1:3" ht="18.75" customHeight="1" x14ac:dyDescent="0.25">
      <c r="A50" s="4"/>
    </row>
    <row r="51" spans="1:3" ht="72" x14ac:dyDescent="0.25">
      <c r="A51" s="122" t="s">
        <v>384</v>
      </c>
      <c r="B51" s="76" t="s">
        <v>959</v>
      </c>
      <c r="C51" s="76" t="s">
        <v>363</v>
      </c>
    </row>
    <row r="52" spans="1:3" ht="18.75" customHeight="1" x14ac:dyDescent="0.25">
      <c r="A52" s="124" t="s">
        <v>375</v>
      </c>
      <c r="B52" s="71">
        <v>30</v>
      </c>
      <c r="C52" s="81">
        <v>0.38961038961038963</v>
      </c>
    </row>
    <row r="53" spans="1:3" ht="18.75" customHeight="1" x14ac:dyDescent="0.25">
      <c r="A53" s="124" t="s">
        <v>376</v>
      </c>
      <c r="B53" s="71">
        <v>72</v>
      </c>
      <c r="C53" s="81">
        <v>0.93506493506493504</v>
      </c>
    </row>
    <row r="54" spans="1:3" ht="18.75" customHeight="1" x14ac:dyDescent="0.25">
      <c r="A54" s="124" t="s">
        <v>377</v>
      </c>
      <c r="B54" s="71">
        <v>54</v>
      </c>
      <c r="C54" s="81">
        <v>0.70129870129870131</v>
      </c>
    </row>
    <row r="55" spans="1:3" ht="18.75" customHeight="1" x14ac:dyDescent="0.25">
      <c r="A55" s="124" t="s">
        <v>378</v>
      </c>
      <c r="B55" s="71">
        <v>4</v>
      </c>
      <c r="C55" s="81">
        <v>5.1948051948051951E-2</v>
      </c>
    </row>
    <row r="56" spans="1:3" ht="18.75" customHeight="1" x14ac:dyDescent="0.25">
      <c r="A56" s="124" t="s">
        <v>41</v>
      </c>
      <c r="B56" s="71">
        <v>6</v>
      </c>
      <c r="C56" s="81">
        <v>7.792207792207792E-2</v>
      </c>
    </row>
    <row r="57" spans="1:3" ht="18.75" customHeight="1" x14ac:dyDescent="0.25">
      <c r="A57" s="124" t="s">
        <v>379</v>
      </c>
      <c r="B57" s="71">
        <v>16</v>
      </c>
      <c r="C57" s="81">
        <v>0.20779220779220781</v>
      </c>
    </row>
    <row r="58" spans="1:3" ht="18.75" customHeight="1" x14ac:dyDescent="0.25">
      <c r="A58" s="124" t="s">
        <v>380</v>
      </c>
      <c r="B58" s="71">
        <v>19</v>
      </c>
      <c r="C58" s="81">
        <v>0.24675324675324675</v>
      </c>
    </row>
    <row r="59" spans="1:3" ht="18.75" customHeight="1" x14ac:dyDescent="0.25">
      <c r="A59" s="124" t="s">
        <v>381</v>
      </c>
      <c r="B59" s="71">
        <v>7</v>
      </c>
      <c r="C59" s="81">
        <v>9.0909090909090912E-2</v>
      </c>
    </row>
    <row r="60" spans="1:3" ht="18.75" customHeight="1" x14ac:dyDescent="0.25">
      <c r="A60" s="124" t="s">
        <v>382</v>
      </c>
      <c r="B60" s="71">
        <v>45</v>
      </c>
      <c r="C60" s="81">
        <v>0.58441558441558439</v>
      </c>
    </row>
    <row r="61" spans="1:3" ht="18.75" customHeight="1" x14ac:dyDescent="0.25">
      <c r="A61" s="124" t="s">
        <v>113</v>
      </c>
      <c r="B61" s="71">
        <v>65</v>
      </c>
      <c r="C61" s="81">
        <v>0.8441558441558441</v>
      </c>
    </row>
    <row r="62" spans="1:3" ht="18.75" customHeight="1" x14ac:dyDescent="0.25">
      <c r="A62" s="124" t="s">
        <v>112</v>
      </c>
      <c r="B62" s="71">
        <v>30</v>
      </c>
      <c r="C62" s="81">
        <v>0.38961038961038963</v>
      </c>
    </row>
    <row r="63" spans="1:3" ht="18.75" customHeight="1" x14ac:dyDescent="0.25">
      <c r="A63" s="124" t="s">
        <v>383</v>
      </c>
      <c r="B63" s="71">
        <v>43</v>
      </c>
      <c r="C63" s="81">
        <v>0.55844155844155841</v>
      </c>
    </row>
    <row r="64" spans="1:3" ht="18.75" customHeight="1" x14ac:dyDescent="0.25">
      <c r="A64" s="4"/>
    </row>
    <row r="65" spans="1:3" ht="18.75" customHeight="1" x14ac:dyDescent="0.25">
      <c r="A65" s="4"/>
    </row>
    <row r="66" spans="1:3" ht="18.75" customHeight="1" x14ac:dyDescent="0.25">
      <c r="A66" s="4"/>
    </row>
    <row r="67" spans="1:3" ht="18.75" customHeight="1" x14ac:dyDescent="0.25">
      <c r="A67" s="3" t="s">
        <v>421</v>
      </c>
      <c r="B67" s="3" t="s">
        <v>386</v>
      </c>
    </row>
    <row r="68" spans="1:3" ht="18.75" customHeight="1" x14ac:dyDescent="0.25">
      <c r="A68" s="4" t="s">
        <v>1</v>
      </c>
      <c r="B68" s="2" t="s">
        <v>387</v>
      </c>
    </row>
    <row r="69" spans="1:3" ht="18.75" customHeight="1" x14ac:dyDescent="0.25">
      <c r="A69" s="4"/>
    </row>
    <row r="70" spans="1:3" ht="72" x14ac:dyDescent="0.25">
      <c r="A70" s="122" t="s">
        <v>384</v>
      </c>
      <c r="B70" s="76" t="s">
        <v>959</v>
      </c>
      <c r="C70" s="76" t="s">
        <v>363</v>
      </c>
    </row>
    <row r="71" spans="1:3" ht="18.75" customHeight="1" x14ac:dyDescent="0.25">
      <c r="A71" s="124" t="s">
        <v>375</v>
      </c>
      <c r="B71" s="71">
        <v>8</v>
      </c>
      <c r="C71" s="81">
        <v>0.1038961038961039</v>
      </c>
    </row>
    <row r="72" spans="1:3" ht="18.75" customHeight="1" x14ac:dyDescent="0.25">
      <c r="A72" s="124" t="s">
        <v>376</v>
      </c>
      <c r="B72" s="71">
        <v>47</v>
      </c>
      <c r="C72" s="81">
        <v>0.61038961038961037</v>
      </c>
    </row>
    <row r="73" spans="1:3" ht="18.75" customHeight="1" x14ac:dyDescent="0.25">
      <c r="A73" s="124" t="s">
        <v>377</v>
      </c>
      <c r="B73" s="71">
        <v>33</v>
      </c>
      <c r="C73" s="81">
        <v>0.42857142857142855</v>
      </c>
    </row>
    <row r="74" spans="1:3" ht="18.75" customHeight="1" x14ac:dyDescent="0.25">
      <c r="A74" s="124" t="s">
        <v>378</v>
      </c>
      <c r="B74" s="71">
        <v>58</v>
      </c>
      <c r="C74" s="81">
        <v>0.75324675324675328</v>
      </c>
    </row>
    <row r="75" spans="1:3" ht="18.75" customHeight="1" x14ac:dyDescent="0.25">
      <c r="A75" s="124" t="s">
        <v>111</v>
      </c>
      <c r="B75" s="71">
        <v>62</v>
      </c>
      <c r="C75" s="81">
        <v>0.80519480519480524</v>
      </c>
    </row>
    <row r="76" spans="1:3" ht="18.75" customHeight="1" x14ac:dyDescent="0.25">
      <c r="A76" s="124" t="s">
        <v>41</v>
      </c>
      <c r="B76" s="71">
        <v>4</v>
      </c>
      <c r="C76" s="81">
        <v>5.1948051948051951E-2</v>
      </c>
    </row>
    <row r="77" spans="1:3" ht="18.75" customHeight="1" x14ac:dyDescent="0.25">
      <c r="A77" s="124" t="s">
        <v>379</v>
      </c>
      <c r="B77" s="71">
        <v>8</v>
      </c>
      <c r="C77" s="81">
        <v>0.1038961038961039</v>
      </c>
    </row>
    <row r="78" spans="1:3" ht="18.75" customHeight="1" x14ac:dyDescent="0.25">
      <c r="A78" s="124" t="s">
        <v>380</v>
      </c>
      <c r="B78" s="71">
        <v>5</v>
      </c>
      <c r="C78" s="81">
        <v>6.4935064935064929E-2</v>
      </c>
    </row>
    <row r="79" spans="1:3" ht="18.75" customHeight="1" x14ac:dyDescent="0.25">
      <c r="A79" s="124" t="s">
        <v>381</v>
      </c>
      <c r="B79" s="71">
        <v>31</v>
      </c>
      <c r="C79" s="81">
        <v>0.40259740259740262</v>
      </c>
    </row>
    <row r="80" spans="1:3" ht="18.75" customHeight="1" x14ac:dyDescent="0.25">
      <c r="A80" s="124" t="s">
        <v>382</v>
      </c>
      <c r="B80" s="71">
        <v>35</v>
      </c>
      <c r="C80" s="81">
        <v>0.45454545454545453</v>
      </c>
    </row>
    <row r="81" spans="1:8" ht="18.75" customHeight="1" x14ac:dyDescent="0.25">
      <c r="A81" s="124" t="s">
        <v>113</v>
      </c>
      <c r="B81" s="71">
        <v>48</v>
      </c>
      <c r="C81" s="81">
        <v>0.62337662337662336</v>
      </c>
    </row>
    <row r="82" spans="1:8" ht="18.75" customHeight="1" x14ac:dyDescent="0.25">
      <c r="A82" s="124" t="s">
        <v>112</v>
      </c>
      <c r="B82" s="71">
        <v>10</v>
      </c>
      <c r="C82" s="81">
        <v>0.12987012987012986</v>
      </c>
    </row>
    <row r="83" spans="1:8" ht="18.75" customHeight="1" x14ac:dyDescent="0.25">
      <c r="A83" s="124" t="s">
        <v>383</v>
      </c>
      <c r="B83" s="71">
        <v>40</v>
      </c>
      <c r="C83" s="81">
        <v>0.51948051948051943</v>
      </c>
    </row>
    <row r="84" spans="1:8" ht="18.75" customHeight="1" x14ac:dyDescent="0.25">
      <c r="A84" s="4"/>
    </row>
    <row r="85" spans="1:8" ht="18.75" customHeight="1" x14ac:dyDescent="0.25">
      <c r="A85" s="4"/>
    </row>
    <row r="86" spans="1:8" ht="18.75" customHeight="1" x14ac:dyDescent="0.25">
      <c r="G86" s="16"/>
      <c r="H86" s="16"/>
    </row>
    <row r="87" spans="1:8" ht="18.75" customHeight="1" x14ac:dyDescent="0.25">
      <c r="A87" s="3" t="s">
        <v>810</v>
      </c>
      <c r="B87" s="3" t="s">
        <v>373</v>
      </c>
    </row>
    <row r="88" spans="1:8" ht="18.75" customHeight="1" x14ac:dyDescent="0.25">
      <c r="A88" s="4" t="s">
        <v>1</v>
      </c>
      <c r="B88" s="2" t="s">
        <v>702</v>
      </c>
    </row>
    <row r="89" spans="1:8" ht="18.75" customHeight="1" x14ac:dyDescent="0.25">
      <c r="A89" s="4"/>
    </row>
    <row r="90" spans="1:8" ht="108" x14ac:dyDescent="0.25">
      <c r="A90" s="122" t="s">
        <v>374</v>
      </c>
      <c r="B90" s="76" t="s">
        <v>362</v>
      </c>
      <c r="C90" s="76" t="s">
        <v>363</v>
      </c>
    </row>
    <row r="91" spans="1:8" ht="18.75" customHeight="1" x14ac:dyDescent="0.25">
      <c r="A91" s="124" t="s">
        <v>65</v>
      </c>
      <c r="B91" s="71">
        <v>32</v>
      </c>
      <c r="C91" s="81">
        <v>0.41558441558441561</v>
      </c>
    </row>
    <row r="92" spans="1:8" ht="18.75" customHeight="1" x14ac:dyDescent="0.25">
      <c r="A92" s="124" t="s">
        <v>134</v>
      </c>
      <c r="B92" s="71">
        <v>32</v>
      </c>
      <c r="C92" s="81">
        <v>0.41558441558441561</v>
      </c>
    </row>
    <row r="93" spans="1:8" ht="18.75" customHeight="1" x14ac:dyDescent="0.25">
      <c r="A93" s="124" t="s">
        <v>136</v>
      </c>
      <c r="B93" s="75">
        <v>27</v>
      </c>
      <c r="C93" s="77">
        <v>0.35064935064935066</v>
      </c>
    </row>
    <row r="94" spans="1:8" ht="18.75" customHeight="1" x14ac:dyDescent="0.25">
      <c r="A94" s="124" t="s">
        <v>138</v>
      </c>
      <c r="B94" s="75">
        <v>25</v>
      </c>
      <c r="C94" s="77">
        <v>0.32467532467532467</v>
      </c>
    </row>
    <row r="95" spans="1:8" ht="18.75" customHeight="1" x14ac:dyDescent="0.25">
      <c r="A95" s="124" t="s">
        <v>364</v>
      </c>
      <c r="B95" s="75">
        <v>24</v>
      </c>
      <c r="C95" s="77">
        <v>0.31168831168831168</v>
      </c>
    </row>
    <row r="96" spans="1:8" ht="18.75" customHeight="1" x14ac:dyDescent="0.25">
      <c r="A96" s="124" t="s">
        <v>365</v>
      </c>
      <c r="B96" s="75">
        <v>20</v>
      </c>
      <c r="C96" s="77">
        <v>0.25974025974025972</v>
      </c>
    </row>
    <row r="97" spans="1:3" ht="18.75" customHeight="1" x14ac:dyDescent="0.25">
      <c r="A97" s="124" t="s">
        <v>98</v>
      </c>
      <c r="B97" s="75">
        <v>20</v>
      </c>
      <c r="C97" s="77">
        <v>0.25974025974025972</v>
      </c>
    </row>
    <row r="98" spans="1:3" ht="18.75" customHeight="1" x14ac:dyDescent="0.25">
      <c r="A98" s="124" t="s">
        <v>366</v>
      </c>
      <c r="B98" s="75">
        <v>20</v>
      </c>
      <c r="C98" s="77">
        <v>0.25974025974025972</v>
      </c>
    </row>
    <row r="99" spans="1:3" ht="18.75" customHeight="1" x14ac:dyDescent="0.25">
      <c r="A99" s="124" t="s">
        <v>367</v>
      </c>
      <c r="B99" s="75">
        <v>18</v>
      </c>
      <c r="C99" s="77">
        <v>0.23376623376623376</v>
      </c>
    </row>
    <row r="100" spans="1:3" ht="18.75" customHeight="1" x14ac:dyDescent="0.25">
      <c r="A100" s="124" t="s">
        <v>368</v>
      </c>
      <c r="B100" s="75">
        <v>18</v>
      </c>
      <c r="C100" s="77">
        <v>0.23376623376623376</v>
      </c>
    </row>
    <row r="101" spans="1:3" ht="18.75" customHeight="1" x14ac:dyDescent="0.25">
      <c r="A101" s="124" t="s">
        <v>48</v>
      </c>
      <c r="B101" s="75">
        <v>17</v>
      </c>
      <c r="C101" s="77">
        <v>0.22077922077922077</v>
      </c>
    </row>
    <row r="102" spans="1:3" ht="18.75" customHeight="1" x14ac:dyDescent="0.25">
      <c r="A102" s="124" t="s">
        <v>369</v>
      </c>
      <c r="B102" s="75">
        <v>15</v>
      </c>
      <c r="C102" s="77">
        <v>0.19480519480519481</v>
      </c>
    </row>
    <row r="103" spans="1:3" ht="36" x14ac:dyDescent="0.25">
      <c r="A103" s="124" t="s">
        <v>135</v>
      </c>
      <c r="B103" s="75">
        <v>15</v>
      </c>
      <c r="C103" s="77">
        <v>0.19480519480519481</v>
      </c>
    </row>
    <row r="104" spans="1:3" ht="18" x14ac:dyDescent="0.25">
      <c r="A104" s="124" t="s">
        <v>251</v>
      </c>
      <c r="B104" s="75">
        <v>14</v>
      </c>
      <c r="C104" s="77">
        <v>0.18181818181818182</v>
      </c>
    </row>
    <row r="105" spans="1:3" ht="18.75" customHeight="1" x14ac:dyDescent="0.25">
      <c r="A105" s="124" t="s">
        <v>137</v>
      </c>
      <c r="B105" s="75">
        <v>14</v>
      </c>
      <c r="C105" s="77">
        <v>0.18181818181818182</v>
      </c>
    </row>
    <row r="106" spans="1:3" ht="18.75" customHeight="1" x14ac:dyDescent="0.25">
      <c r="A106" s="124" t="s">
        <v>59</v>
      </c>
      <c r="B106" s="75">
        <v>14</v>
      </c>
      <c r="C106" s="77">
        <v>0.18181818181818182</v>
      </c>
    </row>
    <row r="107" spans="1:3" ht="18.75" customHeight="1" x14ac:dyDescent="0.25">
      <c r="A107" s="124" t="s">
        <v>370</v>
      </c>
      <c r="B107" s="75">
        <v>14</v>
      </c>
      <c r="C107" s="77">
        <v>0.18181818181818182</v>
      </c>
    </row>
    <row r="108" spans="1:3" ht="18.75" customHeight="1" x14ac:dyDescent="0.25">
      <c r="A108" s="124" t="s">
        <v>83</v>
      </c>
      <c r="B108" s="75">
        <v>10</v>
      </c>
      <c r="C108" s="77">
        <v>0.12987012987012986</v>
      </c>
    </row>
    <row r="109" spans="1:3" ht="18.75" customHeight="1" x14ac:dyDescent="0.25">
      <c r="A109" s="124" t="s">
        <v>371</v>
      </c>
      <c r="B109" s="75">
        <v>8</v>
      </c>
      <c r="C109" s="77">
        <v>0.1038961038961039</v>
      </c>
    </row>
    <row r="110" spans="1:3" ht="18.75" customHeight="1" x14ac:dyDescent="0.25">
      <c r="A110" s="124" t="s">
        <v>53</v>
      </c>
      <c r="B110" s="75">
        <v>6</v>
      </c>
      <c r="C110" s="77">
        <v>7.792207792207792E-2</v>
      </c>
    </row>
    <row r="111" spans="1:3" ht="18.75" customHeight="1" x14ac:dyDescent="0.25">
      <c r="A111" s="124" t="s">
        <v>49</v>
      </c>
      <c r="B111" s="75">
        <v>6</v>
      </c>
      <c r="C111" s="77">
        <v>7.792207792207792E-2</v>
      </c>
    </row>
    <row r="112" spans="1:3" ht="18.75" customHeight="1" x14ac:dyDescent="0.25">
      <c r="A112" s="124" t="s">
        <v>60</v>
      </c>
      <c r="B112" s="75">
        <v>6</v>
      </c>
      <c r="C112" s="77">
        <v>7.792207792207792E-2</v>
      </c>
    </row>
    <row r="113" spans="1:3" ht="18.75" customHeight="1" x14ac:dyDescent="0.25">
      <c r="A113" s="124" t="s">
        <v>41</v>
      </c>
      <c r="B113" s="75">
        <v>6</v>
      </c>
      <c r="C113" s="77">
        <v>7.792207792207792E-2</v>
      </c>
    </row>
    <row r="114" spans="1:3" ht="18.75" customHeight="1" x14ac:dyDescent="0.25">
      <c r="A114" s="124" t="s">
        <v>54</v>
      </c>
      <c r="B114" s="75">
        <v>5</v>
      </c>
      <c r="C114" s="77">
        <v>6.4935064935064929E-2</v>
      </c>
    </row>
    <row r="115" spans="1:3" ht="18.75" customHeight="1" x14ac:dyDescent="0.25">
      <c r="A115" s="124" t="s">
        <v>372</v>
      </c>
      <c r="B115" s="75">
        <v>5</v>
      </c>
      <c r="C115" s="77">
        <v>6.4935064935064929E-2</v>
      </c>
    </row>
  </sheetData>
  <mergeCells count="1">
    <mergeCell ref="A1:H1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>
    <oddHeader>&amp;C2013 Victorian AOD Workforce Survey aggregate  report</oddHeader>
    <oddFooter>&amp;A</oddFooter>
  </headerFooter>
  <rowBreaks count="3" manualBreakCount="3">
    <brk id="32" max="16383" man="1"/>
    <brk id="63" max="7" man="1"/>
    <brk id="85" max="16383" man="1"/>
  </rowBreaks>
  <tableParts count="6">
    <tablePart r:id="rId2"/>
    <tablePart r:id="rId3"/>
    <tablePart r:id="rId4"/>
    <tablePart r:id="rId5"/>
    <tablePart r:id="rId6"/>
    <tablePart r:id="rId7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1"/>
  <sheetViews>
    <sheetView zoomScale="75" zoomScaleNormal="75" zoomScaleSheetLayoutView="75" workbookViewId="0">
      <selection sqref="A1:H1"/>
    </sheetView>
  </sheetViews>
  <sheetFormatPr defaultRowHeight="18.75" customHeight="1" x14ac:dyDescent="0.25"/>
  <cols>
    <col min="1" max="1" width="61.296875" style="2" customWidth="1"/>
    <col min="2" max="2" width="41.8984375" style="2" customWidth="1"/>
    <col min="3" max="8" width="20.69921875" style="2" customWidth="1"/>
    <col min="9" max="9" width="11.59765625" style="2" customWidth="1"/>
    <col min="10" max="16384" width="8.796875" style="2"/>
  </cols>
  <sheetData>
    <row r="1" spans="1:8" s="33" customFormat="1" ht="55.5" customHeight="1" x14ac:dyDescent="0.2">
      <c r="A1" s="249" t="s">
        <v>922</v>
      </c>
      <c r="B1" s="249"/>
      <c r="C1" s="249"/>
      <c r="D1" s="249"/>
      <c r="E1" s="249"/>
      <c r="F1" s="249"/>
      <c r="G1" s="249"/>
      <c r="H1" s="249"/>
    </row>
    <row r="2" spans="1:8" s="10" customFormat="1" ht="18.75" customHeight="1" x14ac:dyDescent="0.25">
      <c r="A2" s="9"/>
    </row>
    <row r="3" spans="1:8" s="10" customFormat="1" ht="18.75" customHeight="1" x14ac:dyDescent="0.25">
      <c r="A3" s="11" t="s">
        <v>706</v>
      </c>
      <c r="B3" s="11" t="s">
        <v>434</v>
      </c>
    </row>
    <row r="4" spans="1:8" s="10" customFormat="1" ht="18.75" customHeight="1" x14ac:dyDescent="0.25">
      <c r="A4" s="4" t="s">
        <v>1</v>
      </c>
      <c r="B4" s="7" t="s">
        <v>703</v>
      </c>
    </row>
    <row r="5" spans="1:8" s="10" customFormat="1" ht="18.75" customHeight="1" x14ac:dyDescent="0.25">
      <c r="A5" s="4"/>
      <c r="B5" s="7"/>
    </row>
    <row r="6" spans="1:8" s="10" customFormat="1" ht="44.25" customHeight="1" x14ac:dyDescent="0.25">
      <c r="A6" s="122" t="s">
        <v>116</v>
      </c>
      <c r="B6" s="76" t="s">
        <v>959</v>
      </c>
      <c r="C6" s="76" t="s">
        <v>908</v>
      </c>
    </row>
    <row r="7" spans="1:8" s="10" customFormat="1" ht="18.75" customHeight="1" x14ac:dyDescent="0.25">
      <c r="A7" s="124" t="s">
        <v>65</v>
      </c>
      <c r="B7" s="71">
        <v>23</v>
      </c>
      <c r="C7" s="81">
        <v>0.30263157894736797</v>
      </c>
    </row>
    <row r="8" spans="1:8" s="10" customFormat="1" ht="18.75" customHeight="1" x14ac:dyDescent="0.25">
      <c r="A8" s="124" t="s">
        <v>422</v>
      </c>
      <c r="B8" s="71">
        <v>19</v>
      </c>
      <c r="C8" s="81">
        <v>0.25</v>
      </c>
    </row>
    <row r="9" spans="1:8" s="10" customFormat="1" ht="18.75" customHeight="1" x14ac:dyDescent="0.25">
      <c r="A9" s="124" t="s">
        <v>51</v>
      </c>
      <c r="B9" s="71">
        <v>8</v>
      </c>
      <c r="C9" s="81">
        <v>0.10526315789473684</v>
      </c>
    </row>
    <row r="10" spans="1:8" s="10" customFormat="1" ht="18.75" customHeight="1" x14ac:dyDescent="0.25">
      <c r="A10" s="124" t="s">
        <v>423</v>
      </c>
      <c r="B10" s="71">
        <v>15</v>
      </c>
      <c r="C10" s="81">
        <v>0.19736842105263158</v>
      </c>
    </row>
    <row r="11" spans="1:8" s="10" customFormat="1" ht="18.75" customHeight="1" x14ac:dyDescent="0.25">
      <c r="A11" s="124" t="s">
        <v>424</v>
      </c>
      <c r="B11" s="71">
        <v>3</v>
      </c>
      <c r="C11" s="81">
        <v>3.9473684210526314E-2</v>
      </c>
    </row>
    <row r="12" spans="1:8" s="10" customFormat="1" ht="18.75" customHeight="1" x14ac:dyDescent="0.25">
      <c r="A12" s="124" t="s">
        <v>48</v>
      </c>
      <c r="B12" s="71">
        <v>16</v>
      </c>
      <c r="C12" s="81">
        <v>0.21052631578947367</v>
      </c>
    </row>
    <row r="13" spans="1:8" s="10" customFormat="1" ht="36" x14ac:dyDescent="0.25">
      <c r="A13" s="124" t="s">
        <v>253</v>
      </c>
      <c r="B13" s="71">
        <v>7</v>
      </c>
      <c r="C13" s="81">
        <v>9.2105263157894732E-2</v>
      </c>
    </row>
    <row r="14" spans="1:8" s="10" customFormat="1" ht="18.75" customHeight="1" x14ac:dyDescent="0.25">
      <c r="A14" s="124" t="s">
        <v>53</v>
      </c>
      <c r="B14" s="71">
        <v>5</v>
      </c>
      <c r="C14" s="81">
        <v>6.5789473684210523E-2</v>
      </c>
    </row>
    <row r="15" spans="1:8" s="10" customFormat="1" ht="18.75" customHeight="1" x14ac:dyDescent="0.25">
      <c r="A15" s="124" t="s">
        <v>273</v>
      </c>
      <c r="B15" s="71">
        <v>2</v>
      </c>
      <c r="C15" s="81">
        <v>2.6315789473684209E-2</v>
      </c>
    </row>
    <row r="16" spans="1:8" s="10" customFormat="1" ht="18.75" customHeight="1" x14ac:dyDescent="0.25">
      <c r="A16" s="124" t="s">
        <v>274</v>
      </c>
      <c r="B16" s="71">
        <v>2</v>
      </c>
      <c r="C16" s="81">
        <v>2.6315789473684209E-2</v>
      </c>
    </row>
    <row r="17" spans="1:3" s="10" customFormat="1" ht="18.75" customHeight="1" x14ac:dyDescent="0.25">
      <c r="A17" s="124" t="s">
        <v>66</v>
      </c>
      <c r="B17" s="71">
        <v>7</v>
      </c>
      <c r="C17" s="81">
        <v>9.2105263157894732E-2</v>
      </c>
    </row>
    <row r="18" spans="1:3" s="10" customFormat="1" ht="18.75" customHeight="1" x14ac:dyDescent="0.25">
      <c r="A18" s="124" t="s">
        <v>137</v>
      </c>
      <c r="B18" s="71">
        <v>8</v>
      </c>
      <c r="C18" s="81">
        <v>0.10526315789473684</v>
      </c>
    </row>
    <row r="19" spans="1:3" s="10" customFormat="1" ht="18.75" customHeight="1" x14ac:dyDescent="0.25">
      <c r="A19" s="124" t="s">
        <v>49</v>
      </c>
      <c r="B19" s="71">
        <v>2</v>
      </c>
      <c r="C19" s="81">
        <v>2.6315789473684209E-2</v>
      </c>
    </row>
    <row r="20" spans="1:3" s="10" customFormat="1" ht="18.75" customHeight="1" x14ac:dyDescent="0.25">
      <c r="A20" s="124" t="s">
        <v>52</v>
      </c>
      <c r="B20" s="71">
        <v>13</v>
      </c>
      <c r="C20" s="81">
        <v>0.17105263157894737</v>
      </c>
    </row>
    <row r="21" spans="1:3" s="10" customFormat="1" ht="18.75" customHeight="1" x14ac:dyDescent="0.25">
      <c r="A21" s="124" t="s">
        <v>59</v>
      </c>
      <c r="B21" s="71">
        <v>8</v>
      </c>
      <c r="C21" s="81">
        <v>0.10526315789473684</v>
      </c>
    </row>
    <row r="22" spans="1:3" s="10" customFormat="1" ht="18.75" customHeight="1" x14ac:dyDescent="0.25">
      <c r="A22" s="124" t="s">
        <v>60</v>
      </c>
      <c r="B22" s="71">
        <v>6</v>
      </c>
      <c r="C22" s="81">
        <v>7.8947368421052627E-2</v>
      </c>
    </row>
    <row r="23" spans="1:3" s="10" customFormat="1" ht="18.75" customHeight="1" x14ac:dyDescent="0.25">
      <c r="A23" s="124" t="s">
        <v>425</v>
      </c>
      <c r="B23" s="71">
        <v>18</v>
      </c>
      <c r="C23" s="81">
        <v>0.23684210526315788</v>
      </c>
    </row>
    <row r="24" spans="1:3" s="10" customFormat="1" ht="18.75" customHeight="1" x14ac:dyDescent="0.25">
      <c r="A24" s="124" t="s">
        <v>56</v>
      </c>
      <c r="B24" s="71">
        <v>4</v>
      </c>
      <c r="C24" s="81">
        <v>5.2631578947368418E-2</v>
      </c>
    </row>
    <row r="25" spans="1:3" s="10" customFormat="1" ht="18.75" customHeight="1" x14ac:dyDescent="0.25">
      <c r="A25" s="124" t="s">
        <v>58</v>
      </c>
      <c r="B25" s="71">
        <v>2</v>
      </c>
      <c r="C25" s="81">
        <v>2.6315789473684209E-2</v>
      </c>
    </row>
    <row r="26" spans="1:3" s="10" customFormat="1" ht="18.75" customHeight="1" x14ac:dyDescent="0.25">
      <c r="A26" s="124" t="s">
        <v>426</v>
      </c>
      <c r="B26" s="71">
        <v>35</v>
      </c>
      <c r="C26" s="81">
        <v>0.46052631578947367</v>
      </c>
    </row>
    <row r="27" spans="1:3" s="10" customFormat="1" ht="18.75" customHeight="1" x14ac:dyDescent="0.25">
      <c r="A27" s="124" t="s">
        <v>260</v>
      </c>
      <c r="B27" s="71">
        <v>9</v>
      </c>
      <c r="C27" s="81">
        <v>0.11842105263157894</v>
      </c>
    </row>
    <row r="28" spans="1:3" s="10" customFormat="1" ht="18.75" customHeight="1" x14ac:dyDescent="0.25">
      <c r="A28" s="124" t="s">
        <v>57</v>
      </c>
      <c r="B28" s="71">
        <v>0</v>
      </c>
      <c r="C28" s="81">
        <v>0</v>
      </c>
    </row>
    <row r="29" spans="1:3" s="10" customFormat="1" ht="18.75" customHeight="1" x14ac:dyDescent="0.25">
      <c r="A29" s="124" t="s">
        <v>55</v>
      </c>
      <c r="B29" s="71">
        <v>0</v>
      </c>
      <c r="C29" s="81">
        <v>0</v>
      </c>
    </row>
    <row r="30" spans="1:3" s="10" customFormat="1" ht="18.75" customHeight="1" x14ac:dyDescent="0.25">
      <c r="A30" s="124" t="s">
        <v>427</v>
      </c>
      <c r="B30" s="71">
        <v>6</v>
      </c>
      <c r="C30" s="81">
        <v>7.8947368421052627E-2</v>
      </c>
    </row>
    <row r="31" spans="1:3" s="10" customFormat="1" ht="18.75" customHeight="1" x14ac:dyDescent="0.25">
      <c r="A31" s="124" t="s">
        <v>428</v>
      </c>
      <c r="B31" s="71">
        <v>25</v>
      </c>
      <c r="C31" s="81">
        <v>0.32894736842105265</v>
      </c>
    </row>
    <row r="32" spans="1:3" s="10" customFormat="1" ht="18.75" customHeight="1" x14ac:dyDescent="0.25">
      <c r="A32" s="124" t="s">
        <v>54</v>
      </c>
      <c r="B32" s="71">
        <v>4</v>
      </c>
      <c r="C32" s="81">
        <v>5.2631578947368418E-2</v>
      </c>
    </row>
    <row r="33" spans="1:3" s="10" customFormat="1" ht="18.75" customHeight="1" x14ac:dyDescent="0.25">
      <c r="A33" s="124" t="s">
        <v>64</v>
      </c>
      <c r="B33" s="71">
        <v>13</v>
      </c>
      <c r="C33" s="81">
        <v>0.17105263157894737</v>
      </c>
    </row>
    <row r="34" spans="1:3" s="10" customFormat="1" ht="18.75" customHeight="1" x14ac:dyDescent="0.25">
      <c r="A34" s="124" t="s">
        <v>429</v>
      </c>
      <c r="B34" s="71">
        <v>27</v>
      </c>
      <c r="C34" s="81">
        <v>0.35526315789473684</v>
      </c>
    </row>
    <row r="35" spans="1:3" s="10" customFormat="1" ht="18.75" customHeight="1" x14ac:dyDescent="0.25">
      <c r="A35" s="124" t="s">
        <v>263</v>
      </c>
      <c r="B35" s="71">
        <v>23</v>
      </c>
      <c r="C35" s="81">
        <v>0.30263157894736842</v>
      </c>
    </row>
    <row r="36" spans="1:3" s="10" customFormat="1" ht="18.75" customHeight="1" x14ac:dyDescent="0.25">
      <c r="A36" s="124" t="s">
        <v>63</v>
      </c>
      <c r="B36" s="71">
        <v>10</v>
      </c>
      <c r="C36" s="81">
        <v>0.13157894736842105</v>
      </c>
    </row>
    <row r="37" spans="1:3" s="10" customFormat="1" ht="18.75" customHeight="1" x14ac:dyDescent="0.25">
      <c r="A37" s="124" t="s">
        <v>889</v>
      </c>
      <c r="B37" s="71">
        <v>12</v>
      </c>
      <c r="C37" s="81">
        <v>0.15789473684210525</v>
      </c>
    </row>
    <row r="38" spans="1:3" s="10" customFormat="1" ht="18.75" customHeight="1" x14ac:dyDescent="0.25">
      <c r="A38" s="124" t="s">
        <v>61</v>
      </c>
      <c r="B38" s="71">
        <v>24</v>
      </c>
      <c r="C38" s="81">
        <v>0.31578947368421051</v>
      </c>
    </row>
    <row r="39" spans="1:3" s="10" customFormat="1" ht="18.75" customHeight="1" x14ac:dyDescent="0.25">
      <c r="A39" s="124" t="s">
        <v>430</v>
      </c>
      <c r="B39" s="71">
        <v>3</v>
      </c>
      <c r="C39" s="81">
        <v>3.9473684210526314E-2</v>
      </c>
    </row>
    <row r="40" spans="1:3" s="10" customFormat="1" ht="18.75" customHeight="1" x14ac:dyDescent="0.25">
      <c r="A40" s="124" t="s">
        <v>431</v>
      </c>
      <c r="B40" s="71">
        <v>6</v>
      </c>
      <c r="C40" s="81">
        <v>7.8947368421052627E-2</v>
      </c>
    </row>
    <row r="41" spans="1:3" s="10" customFormat="1" ht="18.75" customHeight="1" x14ac:dyDescent="0.25">
      <c r="A41" s="124" t="s">
        <v>62</v>
      </c>
      <c r="B41" s="71">
        <v>5</v>
      </c>
      <c r="C41" s="81">
        <v>6.5789473684210523E-2</v>
      </c>
    </row>
    <row r="42" spans="1:3" s="10" customFormat="1" ht="18.75" customHeight="1" x14ac:dyDescent="0.25">
      <c r="A42" s="124" t="s">
        <v>432</v>
      </c>
      <c r="B42" s="71">
        <v>10</v>
      </c>
      <c r="C42" s="81">
        <v>0.13157894736842105</v>
      </c>
    </row>
    <row r="43" spans="1:3" s="10" customFormat="1" ht="18.75" customHeight="1" x14ac:dyDescent="0.25">
      <c r="A43" s="9"/>
    </row>
    <row r="44" spans="1:3" s="10" customFormat="1" ht="18.75" customHeight="1" x14ac:dyDescent="0.25">
      <c r="A44" s="9"/>
    </row>
    <row r="45" spans="1:3" s="10" customFormat="1" ht="18.75" customHeight="1" x14ac:dyDescent="0.25">
      <c r="A45" s="9"/>
    </row>
    <row r="46" spans="1:3" s="10" customFormat="1" ht="18.75" customHeight="1" x14ac:dyDescent="0.25">
      <c r="A46" s="11" t="s">
        <v>707</v>
      </c>
      <c r="B46" s="11" t="s">
        <v>866</v>
      </c>
    </row>
    <row r="47" spans="1:3" s="10" customFormat="1" ht="18.75" customHeight="1" x14ac:dyDescent="0.25">
      <c r="A47" s="4" t="s">
        <v>1</v>
      </c>
      <c r="B47" s="7" t="s">
        <v>704</v>
      </c>
    </row>
    <row r="48" spans="1:3" s="10" customFormat="1" ht="18.75" customHeight="1" x14ac:dyDescent="0.25">
      <c r="A48" s="9"/>
      <c r="B48" s="7"/>
    </row>
    <row r="49" spans="1:3" s="10" customFormat="1" ht="18" x14ac:dyDescent="0.25">
      <c r="A49" s="76" t="s">
        <v>116</v>
      </c>
      <c r="B49" s="76" t="s">
        <v>959</v>
      </c>
      <c r="C49" s="76" t="s">
        <v>907</v>
      </c>
    </row>
    <row r="50" spans="1:3" s="10" customFormat="1" ht="18.75" customHeight="1" x14ac:dyDescent="0.25">
      <c r="A50" s="124" t="s">
        <v>65</v>
      </c>
      <c r="B50" s="71">
        <v>45</v>
      </c>
      <c r="C50" s="81">
        <f>(B50/76)</f>
        <v>0.59210526315789469</v>
      </c>
    </row>
    <row r="51" spans="1:3" s="10" customFormat="1" ht="18.75" customHeight="1" x14ac:dyDescent="0.25">
      <c r="A51" s="124" t="s">
        <v>251</v>
      </c>
      <c r="B51" s="71">
        <v>14</v>
      </c>
      <c r="C51" s="81">
        <f t="shared" ref="C51:C59" si="0">(B51/76)</f>
        <v>0.18421052631578946</v>
      </c>
    </row>
    <row r="52" spans="1:3" s="10" customFormat="1" ht="18.75" customHeight="1" x14ac:dyDescent="0.25">
      <c r="A52" s="124" t="s">
        <v>252</v>
      </c>
      <c r="B52" s="71">
        <v>37</v>
      </c>
      <c r="C52" s="81">
        <f t="shared" si="0"/>
        <v>0.48684210526315791</v>
      </c>
    </row>
    <row r="53" spans="1:3" s="10" customFormat="1" ht="18.75" customHeight="1" x14ac:dyDescent="0.25">
      <c r="A53" s="124" t="s">
        <v>255</v>
      </c>
      <c r="B53" s="71">
        <v>51</v>
      </c>
      <c r="C53" s="81">
        <f t="shared" si="0"/>
        <v>0.67105263157894735</v>
      </c>
    </row>
    <row r="54" spans="1:3" s="10" customFormat="1" ht="18.75" customHeight="1" x14ac:dyDescent="0.25">
      <c r="A54" s="124" t="s">
        <v>256</v>
      </c>
      <c r="B54" s="71">
        <v>67</v>
      </c>
      <c r="C54" s="81">
        <f t="shared" si="0"/>
        <v>0.88157894736842102</v>
      </c>
    </row>
    <row r="55" spans="1:3" s="10" customFormat="1" ht="18.75" customHeight="1" x14ac:dyDescent="0.25">
      <c r="A55" s="124" t="s">
        <v>257</v>
      </c>
      <c r="B55" s="71">
        <v>41</v>
      </c>
      <c r="C55" s="81">
        <f t="shared" si="0"/>
        <v>0.53947368421052633</v>
      </c>
    </row>
    <row r="56" spans="1:3" s="10" customFormat="1" ht="18.75" customHeight="1" x14ac:dyDescent="0.25">
      <c r="A56" s="124" t="s">
        <v>258</v>
      </c>
      <c r="B56" s="71">
        <v>33</v>
      </c>
      <c r="C56" s="81">
        <f t="shared" si="0"/>
        <v>0.43421052631578949</v>
      </c>
    </row>
    <row r="57" spans="1:3" s="10" customFormat="1" ht="18.75" customHeight="1" x14ac:dyDescent="0.25">
      <c r="A57" s="124" t="s">
        <v>261</v>
      </c>
      <c r="B57" s="71">
        <v>26</v>
      </c>
      <c r="C57" s="81">
        <f t="shared" si="0"/>
        <v>0.34210526315789475</v>
      </c>
    </row>
    <row r="58" spans="1:3" s="10" customFormat="1" ht="18.75" customHeight="1" x14ac:dyDescent="0.25">
      <c r="A58" s="124" t="s">
        <v>262</v>
      </c>
      <c r="B58" s="71">
        <v>27</v>
      </c>
      <c r="C58" s="81">
        <f t="shared" si="0"/>
        <v>0.35526315789473684</v>
      </c>
    </row>
    <row r="59" spans="1:3" s="10" customFormat="1" ht="18.75" customHeight="1" x14ac:dyDescent="0.25">
      <c r="A59" s="124" t="s">
        <v>265</v>
      </c>
      <c r="B59" s="71">
        <v>39</v>
      </c>
      <c r="C59" s="81">
        <f t="shared" si="0"/>
        <v>0.51315789473684215</v>
      </c>
    </row>
    <row r="60" spans="1:3" s="10" customFormat="1" ht="18.75" customHeight="1" x14ac:dyDescent="0.25">
      <c r="A60" s="9"/>
    </row>
    <row r="61" spans="1:3" s="10" customFormat="1" ht="18.75" customHeight="1" x14ac:dyDescent="0.25">
      <c r="A61" s="9"/>
    </row>
    <row r="62" spans="1:3" s="10" customFormat="1" ht="18.75" customHeight="1" x14ac:dyDescent="0.25">
      <c r="A62" s="9"/>
    </row>
    <row r="63" spans="1:3" s="10" customFormat="1" ht="18.75" customHeight="1" x14ac:dyDescent="0.25">
      <c r="A63" s="9"/>
    </row>
    <row r="64" spans="1:3" s="10" customFormat="1" ht="18.75" customHeight="1" x14ac:dyDescent="0.25">
      <c r="A64" s="11" t="s">
        <v>708</v>
      </c>
      <c r="B64" s="11" t="s">
        <v>433</v>
      </c>
      <c r="C64" s="11"/>
    </row>
    <row r="65" spans="1:8" s="10" customFormat="1" ht="18.75" customHeight="1" x14ac:dyDescent="0.25">
      <c r="A65" s="4" t="s">
        <v>1</v>
      </c>
      <c r="B65" s="7" t="s">
        <v>705</v>
      </c>
      <c r="C65" s="7"/>
    </row>
    <row r="66" spans="1:8" s="10" customFormat="1" ht="18.75" customHeight="1" x14ac:dyDescent="0.25">
      <c r="A66" s="9"/>
    </row>
    <row r="67" spans="1:8" ht="18.75" customHeight="1" x14ac:dyDescent="0.25">
      <c r="A67" s="76" t="s">
        <v>116</v>
      </c>
      <c r="B67" s="76" t="s">
        <v>18</v>
      </c>
      <c r="F67" s="10"/>
      <c r="G67" s="10"/>
      <c r="H67" s="10"/>
    </row>
    <row r="68" spans="1:8" ht="18.75" customHeight="1" x14ac:dyDescent="0.25">
      <c r="A68" s="124" t="s">
        <v>388</v>
      </c>
      <c r="B68" s="71">
        <v>56</v>
      </c>
    </row>
    <row r="69" spans="1:8" ht="18.75" customHeight="1" x14ac:dyDescent="0.25">
      <c r="A69" s="124" t="s">
        <v>389</v>
      </c>
      <c r="B69" s="71">
        <v>55</v>
      </c>
    </row>
    <row r="70" spans="1:8" ht="18.75" customHeight="1" x14ac:dyDescent="0.25">
      <c r="A70" s="124" t="s">
        <v>390</v>
      </c>
      <c r="B70" s="71">
        <v>46</v>
      </c>
    </row>
    <row r="71" spans="1:8" ht="18.75" customHeight="1" x14ac:dyDescent="0.25">
      <c r="A71" s="124" t="s">
        <v>391</v>
      </c>
      <c r="B71" s="71">
        <v>38</v>
      </c>
    </row>
    <row r="72" spans="1:8" ht="18.75" customHeight="1" x14ac:dyDescent="0.25">
      <c r="A72" s="124" t="s">
        <v>392</v>
      </c>
      <c r="B72" s="71">
        <v>36</v>
      </c>
    </row>
    <row r="73" spans="1:8" ht="18.75" customHeight="1" x14ac:dyDescent="0.25">
      <c r="A73" s="124" t="s">
        <v>50</v>
      </c>
      <c r="B73" s="71">
        <v>35</v>
      </c>
    </row>
    <row r="74" spans="1:8" ht="18.75" customHeight="1" x14ac:dyDescent="0.25">
      <c r="A74" s="124" t="s">
        <v>393</v>
      </c>
      <c r="B74" s="71">
        <v>35</v>
      </c>
    </row>
    <row r="75" spans="1:8" ht="18.75" customHeight="1" x14ac:dyDescent="0.25">
      <c r="A75" s="124" t="s">
        <v>394</v>
      </c>
      <c r="B75" s="71">
        <v>32</v>
      </c>
    </row>
    <row r="76" spans="1:8" ht="18.75" customHeight="1" x14ac:dyDescent="0.25">
      <c r="A76" s="124" t="s">
        <v>395</v>
      </c>
      <c r="B76" s="71">
        <v>30</v>
      </c>
    </row>
    <row r="77" spans="1:8" ht="18.75" customHeight="1" x14ac:dyDescent="0.25">
      <c r="A77" s="124" t="s">
        <v>396</v>
      </c>
      <c r="B77" s="71">
        <v>30</v>
      </c>
    </row>
    <row r="78" spans="1:8" ht="18.75" customHeight="1" x14ac:dyDescent="0.25">
      <c r="A78" s="124" t="s">
        <v>397</v>
      </c>
      <c r="B78" s="71">
        <v>30</v>
      </c>
    </row>
    <row r="79" spans="1:8" ht="18.75" customHeight="1" x14ac:dyDescent="0.25">
      <c r="A79" s="124" t="s">
        <v>398</v>
      </c>
      <c r="B79" s="71">
        <v>30</v>
      </c>
    </row>
    <row r="80" spans="1:8" ht="18.75" customHeight="1" x14ac:dyDescent="0.25">
      <c r="A80" s="124" t="s">
        <v>399</v>
      </c>
      <c r="B80" s="71">
        <v>28</v>
      </c>
    </row>
    <row r="81" spans="1:3" ht="18.75" customHeight="1" x14ac:dyDescent="0.25">
      <c r="A81" s="124" t="s">
        <v>400</v>
      </c>
      <c r="B81" s="71">
        <v>27</v>
      </c>
    </row>
    <row r="82" spans="1:3" ht="18.75" customHeight="1" x14ac:dyDescent="0.25">
      <c r="A82" s="124" t="s">
        <v>401</v>
      </c>
      <c r="B82" s="71">
        <v>27</v>
      </c>
    </row>
    <row r="83" spans="1:3" ht="18.75" customHeight="1" x14ac:dyDescent="0.25">
      <c r="A83" s="124" t="s">
        <v>402</v>
      </c>
      <c r="B83" s="71">
        <v>26</v>
      </c>
    </row>
    <row r="84" spans="1:3" ht="18.75" customHeight="1" x14ac:dyDescent="0.25">
      <c r="A84" s="124" t="s">
        <v>403</v>
      </c>
      <c r="B84" s="71">
        <v>25</v>
      </c>
    </row>
    <row r="85" spans="1:3" ht="18.75" customHeight="1" x14ac:dyDescent="0.25">
      <c r="A85" s="124" t="s">
        <v>404</v>
      </c>
      <c r="B85" s="71">
        <v>22</v>
      </c>
    </row>
    <row r="86" spans="1:3" ht="18.75" customHeight="1" x14ac:dyDescent="0.25">
      <c r="A86" s="124" t="s">
        <v>41</v>
      </c>
      <c r="B86" s="71">
        <v>9</v>
      </c>
    </row>
    <row r="87" spans="1:3" ht="18.75" customHeight="1" x14ac:dyDescent="0.25">
      <c r="A87" s="124" t="s">
        <v>405</v>
      </c>
      <c r="B87" s="71">
        <v>6</v>
      </c>
    </row>
    <row r="88" spans="1:3" ht="18.75" customHeight="1" x14ac:dyDescent="0.25">
      <c r="A88" s="124" t="s">
        <v>406</v>
      </c>
      <c r="B88" s="71">
        <v>5</v>
      </c>
    </row>
    <row r="91" spans="1:3" ht="18.75" customHeight="1" x14ac:dyDescent="0.25">
      <c r="A91" s="11" t="s">
        <v>709</v>
      </c>
      <c r="B91" s="11" t="s">
        <v>117</v>
      </c>
    </row>
    <row r="92" spans="1:3" ht="18.75" customHeight="1" x14ac:dyDescent="0.25">
      <c r="A92" s="4" t="s">
        <v>1</v>
      </c>
      <c r="B92" s="7" t="s">
        <v>714</v>
      </c>
    </row>
    <row r="93" spans="1:3" ht="18.75" customHeight="1" x14ac:dyDescent="0.25">
      <c r="A93" s="12"/>
      <c r="B93" s="7"/>
    </row>
    <row r="94" spans="1:3" ht="18.75" customHeight="1" x14ac:dyDescent="0.25">
      <c r="A94" s="76" t="s">
        <v>116</v>
      </c>
      <c r="B94" s="76" t="s">
        <v>18</v>
      </c>
      <c r="C94" s="6"/>
    </row>
    <row r="95" spans="1:3" ht="18.75" customHeight="1" x14ac:dyDescent="0.25">
      <c r="A95" s="124" t="s">
        <v>407</v>
      </c>
      <c r="B95" s="75">
        <v>15</v>
      </c>
      <c r="C95" s="6"/>
    </row>
    <row r="96" spans="1:3" ht="36" x14ac:dyDescent="0.25">
      <c r="A96" s="124" t="s">
        <v>408</v>
      </c>
      <c r="B96" s="75">
        <v>26</v>
      </c>
      <c r="C96" s="6"/>
    </row>
    <row r="97" spans="1:4" ht="18" x14ac:dyDescent="0.25">
      <c r="A97" s="124" t="s">
        <v>409</v>
      </c>
      <c r="B97" s="75">
        <v>55</v>
      </c>
      <c r="C97" s="6"/>
    </row>
    <row r="98" spans="1:4" ht="36" x14ac:dyDescent="0.25">
      <c r="A98" s="124" t="s">
        <v>410</v>
      </c>
      <c r="B98" s="75">
        <v>62</v>
      </c>
      <c r="C98" s="6"/>
    </row>
    <row r="99" spans="1:4" ht="18.75" customHeight="1" x14ac:dyDescent="0.25">
      <c r="A99" s="124" t="s">
        <v>411</v>
      </c>
      <c r="B99" s="75">
        <v>73</v>
      </c>
      <c r="C99" s="6"/>
    </row>
    <row r="100" spans="1:4" ht="18.75" customHeight="1" x14ac:dyDescent="0.25">
      <c r="A100" s="6"/>
      <c r="B100" s="5"/>
      <c r="C100" s="6"/>
    </row>
    <row r="101" spans="1:4" ht="18.75" customHeight="1" x14ac:dyDescent="0.25">
      <c r="A101" s="6"/>
      <c r="B101" s="5"/>
      <c r="C101" s="13"/>
    </row>
    <row r="102" spans="1:4" s="6" customFormat="1" ht="18.75" customHeight="1" x14ac:dyDescent="0.2"/>
    <row r="103" spans="1:4" ht="18.75" customHeight="1" x14ac:dyDescent="0.25">
      <c r="A103" s="11" t="s">
        <v>710</v>
      </c>
      <c r="B103" s="11" t="s">
        <v>415</v>
      </c>
    </row>
    <row r="104" spans="1:4" ht="18.75" customHeight="1" x14ac:dyDescent="0.25">
      <c r="A104" s="4" t="s">
        <v>1</v>
      </c>
      <c r="B104" s="7" t="s">
        <v>965</v>
      </c>
    </row>
    <row r="106" spans="1:4" ht="18.75" customHeight="1" x14ac:dyDescent="0.25">
      <c r="A106" s="76" t="s">
        <v>412</v>
      </c>
      <c r="B106" s="76" t="s">
        <v>413</v>
      </c>
      <c r="C106" s="76" t="s">
        <v>414</v>
      </c>
      <c r="D106" s="76" t="s">
        <v>715</v>
      </c>
    </row>
    <row r="107" spans="1:4" ht="18.75" customHeight="1" x14ac:dyDescent="0.25">
      <c r="A107" s="124" t="s">
        <v>3</v>
      </c>
      <c r="B107" s="71">
        <v>866</v>
      </c>
      <c r="C107" s="71">
        <v>69</v>
      </c>
      <c r="D107" s="81">
        <f>Table12[[#This Row],[Declines]]/Table12[[#This Row],[Requests]]</f>
        <v>7.9676674364896075E-2</v>
      </c>
    </row>
    <row r="108" spans="1:4" ht="18.75" customHeight="1" x14ac:dyDescent="0.25">
      <c r="A108" s="124" t="s">
        <v>2</v>
      </c>
      <c r="B108" s="71">
        <v>638</v>
      </c>
      <c r="C108" s="71">
        <v>53</v>
      </c>
      <c r="D108" s="81">
        <f>Table12[[#This Row],[Declines]]/Table12[[#This Row],[Requests]]</f>
        <v>8.3072100313479627E-2</v>
      </c>
    </row>
    <row r="109" spans="1:4" ht="18.75" customHeight="1" x14ac:dyDescent="0.25">
      <c r="A109" s="1" t="s">
        <v>4</v>
      </c>
      <c r="B109" s="98">
        <f>SUBTOTAL(109,Table12[Requests])</f>
        <v>1504</v>
      </c>
      <c r="C109" s="98">
        <f>SUBTOTAL(109,Table12[Declines])</f>
        <v>122</v>
      </c>
      <c r="D109" s="102"/>
    </row>
    <row r="110" spans="1:4" ht="18.75" customHeight="1" x14ac:dyDescent="0.25">
      <c r="A110"/>
      <c r="B110"/>
      <c r="C110"/>
      <c r="D110"/>
    </row>
    <row r="113" spans="1:4" ht="18.75" customHeight="1" x14ac:dyDescent="0.25">
      <c r="A113" s="11" t="s">
        <v>711</v>
      </c>
      <c r="B113" s="11" t="s">
        <v>887</v>
      </c>
    </row>
    <row r="114" spans="1:4" ht="18.75" customHeight="1" x14ac:dyDescent="0.25">
      <c r="A114" s="4" t="s">
        <v>1</v>
      </c>
      <c r="B114" s="7" t="s">
        <v>964</v>
      </c>
    </row>
    <row r="115" spans="1:4" ht="18.75" customHeight="1" x14ac:dyDescent="0.25">
      <c r="C115" s="6"/>
    </row>
    <row r="116" spans="1:4" ht="18.75" customHeight="1" x14ac:dyDescent="0.25">
      <c r="A116" s="76" t="s">
        <v>412</v>
      </c>
      <c r="B116" s="76" t="s">
        <v>3</v>
      </c>
      <c r="C116" s="76" t="s">
        <v>2</v>
      </c>
      <c r="D116" s="76" t="s">
        <v>4</v>
      </c>
    </row>
    <row r="117" spans="1:4" ht="36" x14ac:dyDescent="0.25">
      <c r="A117" s="124" t="s">
        <v>417</v>
      </c>
      <c r="B117" s="75">
        <v>9</v>
      </c>
      <c r="C117" s="75">
        <v>4</v>
      </c>
      <c r="D117" s="75">
        <v>13</v>
      </c>
    </row>
    <row r="118" spans="1:4" ht="36" x14ac:dyDescent="0.25">
      <c r="A118" s="124" t="s">
        <v>418</v>
      </c>
      <c r="B118" s="75">
        <v>14</v>
      </c>
      <c r="C118" s="75">
        <v>10</v>
      </c>
      <c r="D118" s="75">
        <v>24</v>
      </c>
    </row>
    <row r="119" spans="1:4" ht="36" x14ac:dyDescent="0.25">
      <c r="A119" s="124" t="s">
        <v>419</v>
      </c>
      <c r="B119" s="75">
        <v>9</v>
      </c>
      <c r="C119" s="75">
        <v>5</v>
      </c>
      <c r="D119" s="75">
        <v>14</v>
      </c>
    </row>
    <row r="120" spans="1:4" ht="36" x14ac:dyDescent="0.25">
      <c r="A120" s="124" t="s">
        <v>420</v>
      </c>
      <c r="B120" s="75">
        <v>4</v>
      </c>
      <c r="C120" s="75">
        <v>2</v>
      </c>
      <c r="D120" s="75">
        <v>6</v>
      </c>
    </row>
    <row r="121" spans="1:4" ht="18.75" customHeight="1" x14ac:dyDescent="0.25">
      <c r="A121" s="124" t="s">
        <v>41</v>
      </c>
      <c r="B121" s="71" t="s">
        <v>121</v>
      </c>
      <c r="C121" s="71">
        <v>2</v>
      </c>
      <c r="D121" s="71">
        <v>2</v>
      </c>
    </row>
    <row r="122" spans="1:4" ht="18.75" customHeight="1" x14ac:dyDescent="0.25">
      <c r="C122" s="6"/>
    </row>
    <row r="126" spans="1:4" ht="18.75" customHeight="1" x14ac:dyDescent="0.25">
      <c r="A126" s="11" t="s">
        <v>712</v>
      </c>
      <c r="B126" s="11" t="s">
        <v>888</v>
      </c>
    </row>
    <row r="127" spans="1:4" ht="18.75" customHeight="1" x14ac:dyDescent="0.25">
      <c r="A127" s="4" t="s">
        <v>1</v>
      </c>
      <c r="B127" s="7" t="s">
        <v>966</v>
      </c>
    </row>
    <row r="129" spans="1:4" ht="18.75" customHeight="1" x14ac:dyDescent="0.25">
      <c r="A129" s="122" t="s">
        <v>441</v>
      </c>
      <c r="B129" s="76" t="s">
        <v>442</v>
      </c>
      <c r="C129" s="76" t="s">
        <v>360</v>
      </c>
      <c r="D129" s="76" t="s">
        <v>443</v>
      </c>
    </row>
    <row r="130" spans="1:4" ht="18.75" customHeight="1" x14ac:dyDescent="0.25">
      <c r="A130" s="124" t="s">
        <v>435</v>
      </c>
      <c r="B130" s="81">
        <v>0.47826086956521741</v>
      </c>
      <c r="C130" s="81">
        <v>0.4</v>
      </c>
      <c r="D130" s="81">
        <v>0.44736842105263158</v>
      </c>
    </row>
    <row r="131" spans="1:4" ht="18.75" customHeight="1" x14ac:dyDescent="0.25">
      <c r="A131" s="124" t="s">
        <v>436</v>
      </c>
      <c r="B131" s="81">
        <v>0.43478260869565216</v>
      </c>
      <c r="C131" s="81">
        <v>0.36666666666666664</v>
      </c>
      <c r="D131" s="81">
        <v>0.40789473684210525</v>
      </c>
    </row>
    <row r="132" spans="1:4" ht="18.75" customHeight="1" x14ac:dyDescent="0.25">
      <c r="A132" s="124" t="s">
        <v>437</v>
      </c>
      <c r="B132" s="81">
        <v>6.5217391304347824E-2</v>
      </c>
      <c r="C132" s="81">
        <v>0.1</v>
      </c>
      <c r="D132" s="81">
        <v>7.8947368421052627E-2</v>
      </c>
    </row>
    <row r="133" spans="1:4" ht="18.75" customHeight="1" x14ac:dyDescent="0.25">
      <c r="A133" s="124" t="s">
        <v>438</v>
      </c>
      <c r="B133" s="81">
        <v>2.1739130434782608E-2</v>
      </c>
      <c r="C133" s="81">
        <v>6.6666666666666666E-2</v>
      </c>
      <c r="D133" s="81">
        <v>3.9473684210526314E-2</v>
      </c>
    </row>
    <row r="134" spans="1:4" ht="18.75" customHeight="1" x14ac:dyDescent="0.25">
      <c r="A134" s="124" t="s">
        <v>439</v>
      </c>
      <c r="B134" s="81">
        <v>0</v>
      </c>
      <c r="C134" s="81">
        <v>3.3333333333333333E-2</v>
      </c>
      <c r="D134" s="81">
        <v>1.3157894736842105E-2</v>
      </c>
    </row>
    <row r="135" spans="1:4" ht="18.75" customHeight="1" x14ac:dyDescent="0.25">
      <c r="A135" s="124" t="s">
        <v>440</v>
      </c>
      <c r="B135" s="81">
        <v>0</v>
      </c>
      <c r="C135" s="81">
        <v>3.3333333333333333E-2</v>
      </c>
      <c r="D135" s="81">
        <v>1.3157894736842105E-2</v>
      </c>
    </row>
    <row r="136" spans="1:4" ht="18.75" customHeight="1" x14ac:dyDescent="0.25">
      <c r="A136" s="1" t="s">
        <v>4</v>
      </c>
      <c r="B136" s="102">
        <f>SUBTOTAL(109,Table16[Metro (n=46)])</f>
        <v>1</v>
      </c>
      <c r="C136" s="102">
        <f>SUBTOTAL(109,Table16[Rural (n=30)])</f>
        <v>0.99999999999999989</v>
      </c>
      <c r="D136" s="102">
        <f>SUBTOTAL(109,Table16[Total (n=76)])</f>
        <v>1</v>
      </c>
    </row>
    <row r="137" spans="1:4" ht="18.75" customHeight="1" x14ac:dyDescent="0.25">
      <c r="A137"/>
      <c r="B137"/>
      <c r="C137"/>
      <c r="D137"/>
    </row>
    <row r="141" spans="1:4" ht="18.75" customHeight="1" x14ac:dyDescent="0.25">
      <c r="A141" s="11" t="s">
        <v>713</v>
      </c>
      <c r="B141" s="11" t="s">
        <v>444</v>
      </c>
    </row>
    <row r="142" spans="1:4" ht="18.75" customHeight="1" x14ac:dyDescent="0.25">
      <c r="A142" s="4" t="s">
        <v>1</v>
      </c>
      <c r="B142" s="7" t="s">
        <v>967</v>
      </c>
    </row>
    <row r="144" spans="1:4" ht="18.75" customHeight="1" x14ac:dyDescent="0.25">
      <c r="A144" s="76" t="s">
        <v>441</v>
      </c>
      <c r="B144" s="76" t="s">
        <v>442</v>
      </c>
      <c r="C144" s="76" t="s">
        <v>360</v>
      </c>
      <c r="D144" s="76" t="s">
        <v>443</v>
      </c>
    </row>
    <row r="145" spans="1:4" ht="18.75" customHeight="1" x14ac:dyDescent="0.25">
      <c r="A145" s="124" t="s">
        <v>435</v>
      </c>
      <c r="B145" s="81">
        <v>0.30434782608695654</v>
      </c>
      <c r="C145" s="81">
        <v>0.23333333333333334</v>
      </c>
      <c r="D145" s="81">
        <v>0.27631578947368424</v>
      </c>
    </row>
    <row r="146" spans="1:4" ht="18.75" customHeight="1" x14ac:dyDescent="0.25">
      <c r="A146" s="124" t="s">
        <v>436</v>
      </c>
      <c r="B146" s="81">
        <v>0.34782608695652173</v>
      </c>
      <c r="C146" s="81">
        <v>0.13333333333333333</v>
      </c>
      <c r="D146" s="81">
        <v>0.26315789473684209</v>
      </c>
    </row>
    <row r="147" spans="1:4" ht="18.75" customHeight="1" x14ac:dyDescent="0.25">
      <c r="A147" s="124" t="s">
        <v>437</v>
      </c>
      <c r="B147" s="81">
        <v>0.2391304347826087</v>
      </c>
      <c r="C147" s="81">
        <v>0.4</v>
      </c>
      <c r="D147" s="81">
        <v>0.30263157894736842</v>
      </c>
    </row>
    <row r="148" spans="1:4" ht="18.75" customHeight="1" x14ac:dyDescent="0.25">
      <c r="A148" s="124" t="s">
        <v>438</v>
      </c>
      <c r="B148" s="81">
        <v>2.1739130434782608E-2</v>
      </c>
      <c r="C148" s="81">
        <v>0.1</v>
      </c>
      <c r="D148" s="81">
        <v>5.2631578947368418E-2</v>
      </c>
    </row>
    <row r="149" spans="1:4" ht="18.75" customHeight="1" x14ac:dyDescent="0.25">
      <c r="A149" s="124" t="s">
        <v>439</v>
      </c>
      <c r="B149" s="81">
        <v>4.3478260869565216E-2</v>
      </c>
      <c r="C149" s="81">
        <v>3.3333333333333333E-2</v>
      </c>
      <c r="D149" s="81">
        <v>3.9473684210526314E-2</v>
      </c>
    </row>
    <row r="150" spans="1:4" ht="18.75" customHeight="1" x14ac:dyDescent="0.25">
      <c r="A150" s="124" t="s">
        <v>440</v>
      </c>
      <c r="B150" s="81">
        <v>4.3478260869565216E-2</v>
      </c>
      <c r="C150" s="81">
        <v>0.1</v>
      </c>
      <c r="D150" s="81">
        <v>6.5789473684210523E-2</v>
      </c>
    </row>
    <row r="151" spans="1:4" ht="18.75" customHeight="1" x14ac:dyDescent="0.25">
      <c r="A151" s="1" t="s">
        <v>4</v>
      </c>
      <c r="B151" s="102">
        <f>SUBTOTAL(109,Table17[Metro (n=46)])</f>
        <v>0.99999999999999989</v>
      </c>
      <c r="C151" s="102">
        <f>SUBTOTAL(109,Table17[Rural (n=30)])</f>
        <v>1</v>
      </c>
      <c r="D151" s="102">
        <f>SUBTOTAL(109,Table17[Total (n=76)])</f>
        <v>0.99999999999999989</v>
      </c>
    </row>
  </sheetData>
  <mergeCells count="1">
    <mergeCell ref="A1:H1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>
    <oddHeader>&amp;C2013 Victorian AOD Workforce Survey aggregate  report</oddHeader>
    <oddFooter>&amp;A</oddFooter>
  </headerFooter>
  <rowBreaks count="3" manualBreakCount="3">
    <brk id="44" max="16383" man="1"/>
    <brk id="90" max="16383" man="1"/>
    <brk id="124" max="16383" man="1"/>
  </rowBreaks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6"/>
  <sheetViews>
    <sheetView zoomScale="75" zoomScaleNormal="75" zoomScaleSheetLayoutView="75" workbookViewId="0"/>
  </sheetViews>
  <sheetFormatPr defaultRowHeight="14.25" x14ac:dyDescent="0.2"/>
  <cols>
    <col min="1" max="1" width="11.09765625" style="231" customWidth="1"/>
    <col min="2" max="2" width="68.59765625" style="232" customWidth="1"/>
    <col min="3" max="3" width="10.09765625" style="231" customWidth="1"/>
    <col min="4" max="5" width="8.796875" style="225" customWidth="1"/>
    <col min="6" max="6" width="6.3984375" style="225"/>
    <col min="7" max="16384" width="8.796875" style="225"/>
  </cols>
  <sheetData>
    <row r="1" spans="1:3" ht="29.25" thickBot="1" x14ac:dyDescent="0.25">
      <c r="A1" s="222" t="s">
        <v>968</v>
      </c>
      <c r="B1" s="223" t="s">
        <v>909</v>
      </c>
      <c r="C1" s="224" t="s">
        <v>524</v>
      </c>
    </row>
    <row r="2" spans="1:3" ht="17.25" customHeight="1" x14ac:dyDescent="0.2">
      <c r="A2" s="226"/>
      <c r="B2" s="227" t="s">
        <v>100</v>
      </c>
      <c r="C2" s="228"/>
    </row>
    <row r="3" spans="1:3" x14ac:dyDescent="0.2">
      <c r="A3" s="229">
        <v>1</v>
      </c>
      <c r="B3" s="230" t="s">
        <v>445</v>
      </c>
      <c r="C3" s="229" t="s">
        <v>121</v>
      </c>
    </row>
    <row r="4" spans="1:3" x14ac:dyDescent="0.2">
      <c r="A4" s="231">
        <v>2</v>
      </c>
      <c r="B4" s="232" t="s">
        <v>912</v>
      </c>
      <c r="C4" s="231">
        <v>2.2999999999999998</v>
      </c>
    </row>
    <row r="5" spans="1:3" x14ac:dyDescent="0.2">
      <c r="A5" s="231">
        <v>3</v>
      </c>
      <c r="B5" s="232" t="s">
        <v>446</v>
      </c>
      <c r="C5" s="231">
        <v>2.2000000000000002</v>
      </c>
    </row>
    <row r="6" spans="1:3" x14ac:dyDescent="0.2">
      <c r="A6" s="231">
        <v>4</v>
      </c>
      <c r="B6" s="232" t="s">
        <v>447</v>
      </c>
      <c r="C6" s="231">
        <v>2.5</v>
      </c>
    </row>
    <row r="7" spans="1:3" x14ac:dyDescent="0.2">
      <c r="A7" s="231">
        <v>5</v>
      </c>
      <c r="B7" s="232" t="s">
        <v>449</v>
      </c>
      <c r="C7" s="231">
        <v>2.5</v>
      </c>
    </row>
    <row r="8" spans="1:3" x14ac:dyDescent="0.2">
      <c r="A8" s="231">
        <v>6</v>
      </c>
      <c r="B8" s="232" t="s">
        <v>868</v>
      </c>
      <c r="C8" s="231">
        <v>2.7</v>
      </c>
    </row>
    <row r="9" spans="1:3" x14ac:dyDescent="0.2">
      <c r="A9" s="231">
        <v>7</v>
      </c>
      <c r="B9" s="232" t="s">
        <v>879</v>
      </c>
      <c r="C9" s="231">
        <v>2.6</v>
      </c>
    </row>
    <row r="10" spans="1:3" ht="28.5" x14ac:dyDescent="0.2">
      <c r="A10" s="229">
        <v>8</v>
      </c>
      <c r="B10" s="230" t="s">
        <v>448</v>
      </c>
      <c r="C10" s="229" t="s">
        <v>121</v>
      </c>
    </row>
    <row r="12" spans="1:3" x14ac:dyDescent="0.2">
      <c r="A12" s="233"/>
      <c r="B12" s="227" t="s">
        <v>450</v>
      </c>
      <c r="C12" s="233"/>
    </row>
    <row r="13" spans="1:3" x14ac:dyDescent="0.2">
      <c r="A13" s="231">
        <v>9</v>
      </c>
      <c r="B13" s="232" t="s">
        <v>451</v>
      </c>
      <c r="C13" s="243">
        <v>2.1</v>
      </c>
    </row>
    <row r="14" spans="1:3" x14ac:dyDescent="0.2">
      <c r="A14" s="231">
        <v>10</v>
      </c>
      <c r="B14" s="232" t="s">
        <v>452</v>
      </c>
      <c r="C14" s="243"/>
    </row>
    <row r="15" spans="1:3" x14ac:dyDescent="0.2">
      <c r="A15" s="231">
        <v>11</v>
      </c>
      <c r="B15" s="232" t="s">
        <v>453</v>
      </c>
      <c r="C15" s="231">
        <v>3.2</v>
      </c>
    </row>
    <row r="16" spans="1:3" x14ac:dyDescent="0.2">
      <c r="A16" s="231">
        <v>12</v>
      </c>
      <c r="B16" s="232" t="s">
        <v>911</v>
      </c>
      <c r="C16" s="231">
        <v>3.3</v>
      </c>
    </row>
    <row r="18" spans="1:3" x14ac:dyDescent="0.2">
      <c r="A18" s="234"/>
      <c r="B18" s="235" t="s">
        <v>454</v>
      </c>
      <c r="C18" s="234"/>
    </row>
    <row r="19" spans="1:3" x14ac:dyDescent="0.2">
      <c r="A19" s="231">
        <v>13</v>
      </c>
      <c r="B19" s="232" t="s">
        <v>869</v>
      </c>
      <c r="C19" s="231">
        <v>3.4</v>
      </c>
    </row>
    <row r="20" spans="1:3" x14ac:dyDescent="0.2">
      <c r="A20" s="231">
        <v>14</v>
      </c>
      <c r="B20" s="232" t="s">
        <v>455</v>
      </c>
      <c r="C20" s="231">
        <v>3.5</v>
      </c>
    </row>
    <row r="21" spans="1:3" x14ac:dyDescent="0.2">
      <c r="A21" s="231">
        <v>15</v>
      </c>
      <c r="B21" s="232" t="s">
        <v>456</v>
      </c>
      <c r="C21" s="231">
        <v>3.6</v>
      </c>
    </row>
    <row r="22" spans="1:3" x14ac:dyDescent="0.2">
      <c r="A22" s="231">
        <v>16</v>
      </c>
      <c r="B22" s="232" t="s">
        <v>457</v>
      </c>
      <c r="C22" s="231">
        <v>3.7</v>
      </c>
    </row>
    <row r="23" spans="1:3" x14ac:dyDescent="0.2">
      <c r="A23" s="231">
        <v>17</v>
      </c>
      <c r="B23" s="232" t="s">
        <v>880</v>
      </c>
      <c r="C23" s="231">
        <v>3.8</v>
      </c>
    </row>
    <row r="24" spans="1:3" ht="28.5" x14ac:dyDescent="0.2">
      <c r="A24" s="231">
        <v>18</v>
      </c>
      <c r="B24" s="232" t="s">
        <v>870</v>
      </c>
      <c r="C24" s="231">
        <v>3.9</v>
      </c>
    </row>
    <row r="25" spans="1:3" x14ac:dyDescent="0.2">
      <c r="A25" s="231">
        <v>19</v>
      </c>
      <c r="B25" s="232" t="s">
        <v>459</v>
      </c>
      <c r="C25" s="231">
        <v>3.1</v>
      </c>
    </row>
    <row r="26" spans="1:3" x14ac:dyDescent="0.2">
      <c r="A26" s="231">
        <v>20</v>
      </c>
      <c r="B26" s="232" t="s">
        <v>460</v>
      </c>
      <c r="C26" s="231">
        <v>3.11</v>
      </c>
    </row>
    <row r="27" spans="1:3" x14ac:dyDescent="0.2">
      <c r="A27" s="231">
        <v>21</v>
      </c>
      <c r="B27" s="232" t="s">
        <v>461</v>
      </c>
      <c r="C27" s="231">
        <v>3.1</v>
      </c>
    </row>
    <row r="29" spans="1:3" x14ac:dyDescent="0.2">
      <c r="A29" s="233"/>
      <c r="B29" s="227" t="s">
        <v>462</v>
      </c>
      <c r="C29" s="233"/>
    </row>
    <row r="30" spans="1:3" x14ac:dyDescent="0.2">
      <c r="A30" s="231">
        <v>22</v>
      </c>
      <c r="B30" s="232" t="s">
        <v>463</v>
      </c>
      <c r="C30" s="231">
        <v>4.13</v>
      </c>
    </row>
    <row r="31" spans="1:3" x14ac:dyDescent="0.2">
      <c r="A31" s="231">
        <v>23</v>
      </c>
      <c r="B31" s="232" t="s">
        <v>881</v>
      </c>
      <c r="C31" s="231">
        <v>4.1399999999999997</v>
      </c>
    </row>
    <row r="32" spans="1:3" x14ac:dyDescent="0.2">
      <c r="A32" s="231">
        <v>24</v>
      </c>
      <c r="B32" s="232" t="s">
        <v>871</v>
      </c>
      <c r="C32" s="231">
        <v>4.1500000000000004</v>
      </c>
    </row>
    <row r="33" spans="1:3" x14ac:dyDescent="0.2">
      <c r="A33" s="231">
        <v>25</v>
      </c>
      <c r="B33" s="232" t="s">
        <v>464</v>
      </c>
      <c r="C33" s="231">
        <v>4.16</v>
      </c>
    </row>
    <row r="34" spans="1:3" x14ac:dyDescent="0.2">
      <c r="A34" s="231">
        <v>26</v>
      </c>
      <c r="B34" s="232" t="s">
        <v>465</v>
      </c>
      <c r="C34" s="231">
        <v>8.1999999999999993</v>
      </c>
    </row>
    <row r="35" spans="1:3" x14ac:dyDescent="0.2">
      <c r="A35" s="231">
        <v>27</v>
      </c>
      <c r="B35" s="232" t="s">
        <v>466</v>
      </c>
      <c r="C35" s="231">
        <v>4.17</v>
      </c>
    </row>
    <row r="36" spans="1:3" x14ac:dyDescent="0.2">
      <c r="A36" s="231">
        <v>28</v>
      </c>
      <c r="B36" s="232" t="s">
        <v>872</v>
      </c>
      <c r="C36" s="231">
        <v>4.18</v>
      </c>
    </row>
    <row r="37" spans="1:3" x14ac:dyDescent="0.2">
      <c r="A37" s="231">
        <v>29</v>
      </c>
      <c r="B37" s="232" t="s">
        <v>467</v>
      </c>
      <c r="C37" s="231">
        <v>4.1900000000000004</v>
      </c>
    </row>
    <row r="38" spans="1:3" x14ac:dyDescent="0.2">
      <c r="A38" s="231">
        <v>30</v>
      </c>
      <c r="B38" s="232" t="s">
        <v>468</v>
      </c>
      <c r="C38" s="231">
        <v>7.7</v>
      </c>
    </row>
    <row r="40" spans="1:3" x14ac:dyDescent="0.2">
      <c r="A40" s="233"/>
      <c r="B40" s="227" t="s">
        <v>469</v>
      </c>
      <c r="C40" s="233"/>
    </row>
    <row r="41" spans="1:3" x14ac:dyDescent="0.2">
      <c r="A41" s="231">
        <v>31</v>
      </c>
      <c r="B41" s="232" t="s">
        <v>913</v>
      </c>
      <c r="C41" s="231">
        <v>4.0999999999999996</v>
      </c>
    </row>
    <row r="42" spans="1:3" x14ac:dyDescent="0.2">
      <c r="A42" s="231">
        <v>32</v>
      </c>
      <c r="B42" s="232" t="s">
        <v>914</v>
      </c>
      <c r="C42" s="231">
        <v>4.2</v>
      </c>
    </row>
    <row r="43" spans="1:3" x14ac:dyDescent="0.2">
      <c r="A43" s="231">
        <v>33</v>
      </c>
      <c r="B43" s="232" t="s">
        <v>915</v>
      </c>
      <c r="C43" s="231">
        <v>4.3</v>
      </c>
    </row>
    <row r="44" spans="1:3" ht="36" customHeight="1" x14ac:dyDescent="0.2">
      <c r="A44" s="231">
        <v>34</v>
      </c>
      <c r="B44" s="236" t="s">
        <v>470</v>
      </c>
      <c r="C44" s="231">
        <v>4.4000000000000004</v>
      </c>
    </row>
    <row r="45" spans="1:3" s="232" customFormat="1" ht="28.5" x14ac:dyDescent="0.2">
      <c r="A45" s="237">
        <v>35</v>
      </c>
      <c r="B45" s="230" t="s">
        <v>882</v>
      </c>
      <c r="C45" s="237" t="s">
        <v>121</v>
      </c>
    </row>
    <row r="46" spans="1:3" s="232" customFormat="1" x14ac:dyDescent="0.2">
      <c r="A46" s="238">
        <v>36</v>
      </c>
      <c r="B46" s="239" t="s">
        <v>916</v>
      </c>
      <c r="C46" s="238">
        <v>4.5</v>
      </c>
    </row>
    <row r="47" spans="1:3" x14ac:dyDescent="0.2">
      <c r="A47" s="231">
        <v>37</v>
      </c>
      <c r="B47" s="232" t="s">
        <v>917</v>
      </c>
      <c r="C47" s="231">
        <v>4.5</v>
      </c>
    </row>
    <row r="48" spans="1:3" x14ac:dyDescent="0.2">
      <c r="A48" s="231">
        <v>38</v>
      </c>
      <c r="B48" s="232" t="s">
        <v>883</v>
      </c>
      <c r="C48" s="231">
        <v>4.5999999999999996</v>
      </c>
    </row>
    <row r="49" spans="1:3" x14ac:dyDescent="0.2">
      <c r="A49" s="229">
        <v>39</v>
      </c>
      <c r="B49" s="230" t="s">
        <v>884</v>
      </c>
      <c r="C49" s="229" t="s">
        <v>121</v>
      </c>
    </row>
    <row r="50" spans="1:3" x14ac:dyDescent="0.2">
      <c r="A50" s="229">
        <v>40</v>
      </c>
      <c r="B50" s="230" t="s">
        <v>885</v>
      </c>
      <c r="C50" s="229" t="s">
        <v>121</v>
      </c>
    </row>
    <row r="51" spans="1:3" ht="28.5" x14ac:dyDescent="0.2">
      <c r="A51" s="231">
        <v>41</v>
      </c>
      <c r="B51" s="232" t="s">
        <v>918</v>
      </c>
      <c r="C51" s="231">
        <v>4.7</v>
      </c>
    </row>
    <row r="52" spans="1:3" ht="28.5" x14ac:dyDescent="0.2">
      <c r="A52" s="231">
        <v>42</v>
      </c>
      <c r="B52" s="232" t="s">
        <v>919</v>
      </c>
      <c r="C52" s="231">
        <v>4.8</v>
      </c>
    </row>
    <row r="53" spans="1:3" x14ac:dyDescent="0.2">
      <c r="A53" s="231">
        <v>43</v>
      </c>
      <c r="B53" s="232" t="s">
        <v>471</v>
      </c>
      <c r="C53" s="231">
        <v>4.9000000000000004</v>
      </c>
    </row>
    <row r="54" spans="1:3" x14ac:dyDescent="0.2">
      <c r="A54" s="231">
        <v>44</v>
      </c>
      <c r="B54" s="239" t="s">
        <v>472</v>
      </c>
      <c r="C54" s="231">
        <v>4.0999999999999996</v>
      </c>
    </row>
    <row r="55" spans="1:3" x14ac:dyDescent="0.2">
      <c r="A55" s="231">
        <v>45</v>
      </c>
      <c r="B55" s="232" t="s">
        <v>473</v>
      </c>
      <c r="C55" s="231">
        <v>4.1100000000000003</v>
      </c>
    </row>
    <row r="56" spans="1:3" x14ac:dyDescent="0.2">
      <c r="A56" s="231">
        <v>46</v>
      </c>
      <c r="B56" s="232" t="s">
        <v>474</v>
      </c>
      <c r="C56" s="231">
        <v>4.12</v>
      </c>
    </row>
    <row r="58" spans="1:3" x14ac:dyDescent="0.2">
      <c r="A58" s="233"/>
      <c r="B58" s="227" t="s">
        <v>920</v>
      </c>
      <c r="C58" s="233"/>
    </row>
    <row r="59" spans="1:3" ht="28.5" x14ac:dyDescent="0.2">
      <c r="A59" s="231">
        <v>47</v>
      </c>
      <c r="B59" s="232" t="s">
        <v>475</v>
      </c>
      <c r="C59" s="231">
        <v>5.0999999999999996</v>
      </c>
    </row>
    <row r="60" spans="1:3" x14ac:dyDescent="0.2">
      <c r="A60" s="231">
        <v>49</v>
      </c>
      <c r="B60" s="232" t="s">
        <v>266</v>
      </c>
      <c r="C60" s="231">
        <v>5.2</v>
      </c>
    </row>
    <row r="62" spans="1:3" x14ac:dyDescent="0.2">
      <c r="A62" s="233"/>
      <c r="B62" s="227" t="s">
        <v>476</v>
      </c>
      <c r="C62" s="233"/>
    </row>
    <row r="63" spans="1:3" x14ac:dyDescent="0.2">
      <c r="A63" s="231">
        <v>49</v>
      </c>
      <c r="B63" s="232" t="s">
        <v>477</v>
      </c>
      <c r="C63" s="231">
        <v>7.6</v>
      </c>
    </row>
    <row r="64" spans="1:3" x14ac:dyDescent="0.2">
      <c r="A64" s="231">
        <v>50</v>
      </c>
      <c r="B64" s="232" t="s">
        <v>478</v>
      </c>
      <c r="C64" s="231">
        <v>7.4</v>
      </c>
    </row>
    <row r="65" spans="1:3" x14ac:dyDescent="0.2">
      <c r="A65" s="231">
        <v>51</v>
      </c>
      <c r="B65" s="232" t="s">
        <v>479</v>
      </c>
      <c r="C65" s="231">
        <v>7.5</v>
      </c>
    </row>
    <row r="66" spans="1:3" x14ac:dyDescent="0.2">
      <c r="A66" s="231">
        <v>52</v>
      </c>
      <c r="B66" s="232" t="s">
        <v>480</v>
      </c>
      <c r="C66" s="231">
        <v>7.14</v>
      </c>
    </row>
    <row r="67" spans="1:3" ht="15" thickBot="1" x14ac:dyDescent="0.25">
      <c r="A67" s="229">
        <v>53</v>
      </c>
      <c r="B67" s="230" t="s">
        <v>511</v>
      </c>
      <c r="C67" s="229" t="s">
        <v>121</v>
      </c>
    </row>
    <row r="68" spans="1:3" ht="29.25" thickBot="1" x14ac:dyDescent="0.25">
      <c r="A68" s="240" t="s">
        <v>968</v>
      </c>
      <c r="B68" s="241" t="s">
        <v>910</v>
      </c>
      <c r="C68" s="241" t="s">
        <v>524</v>
      </c>
    </row>
    <row r="69" spans="1:3" x14ac:dyDescent="0.2">
      <c r="A69" s="233"/>
      <c r="B69" s="227" t="s">
        <v>101</v>
      </c>
      <c r="C69" s="233"/>
    </row>
    <row r="70" spans="1:3" x14ac:dyDescent="0.2">
      <c r="A70" s="229">
        <v>1</v>
      </c>
      <c r="B70" s="230" t="s">
        <v>481</v>
      </c>
      <c r="C70" s="229" t="s">
        <v>121</v>
      </c>
    </row>
    <row r="71" spans="1:3" x14ac:dyDescent="0.2">
      <c r="A71" s="231">
        <v>2</v>
      </c>
      <c r="B71" s="232" t="s">
        <v>482</v>
      </c>
      <c r="C71" s="231">
        <v>1.5</v>
      </c>
    </row>
    <row r="72" spans="1:3" x14ac:dyDescent="0.2">
      <c r="A72" s="229">
        <v>3</v>
      </c>
      <c r="B72" s="230" t="s">
        <v>484</v>
      </c>
      <c r="C72" s="229" t="s">
        <v>121</v>
      </c>
    </row>
    <row r="73" spans="1:3" x14ac:dyDescent="0.2">
      <c r="A73" s="229">
        <v>4</v>
      </c>
      <c r="B73" s="230" t="s">
        <v>483</v>
      </c>
      <c r="C73" s="229" t="s">
        <v>121</v>
      </c>
    </row>
    <row r="74" spans="1:3" x14ac:dyDescent="0.2">
      <c r="A74" s="229">
        <v>5</v>
      </c>
      <c r="B74" s="230" t="s">
        <v>485</v>
      </c>
      <c r="C74" s="229" t="s">
        <v>121</v>
      </c>
    </row>
    <row r="75" spans="1:3" x14ac:dyDescent="0.2">
      <c r="A75" s="229">
        <v>6</v>
      </c>
      <c r="B75" s="230" t="s">
        <v>486</v>
      </c>
      <c r="C75" s="229" t="s">
        <v>121</v>
      </c>
    </row>
    <row r="76" spans="1:3" x14ac:dyDescent="0.2">
      <c r="A76" s="229">
        <v>7</v>
      </c>
      <c r="B76" s="230" t="s">
        <v>487</v>
      </c>
      <c r="C76" s="229" t="s">
        <v>121</v>
      </c>
    </row>
    <row r="77" spans="1:3" x14ac:dyDescent="0.2">
      <c r="A77" s="229">
        <v>8</v>
      </c>
      <c r="B77" s="230" t="s">
        <v>483</v>
      </c>
      <c r="C77" s="229" t="s">
        <v>121</v>
      </c>
    </row>
    <row r="78" spans="1:3" x14ac:dyDescent="0.2">
      <c r="A78" s="229">
        <v>9</v>
      </c>
      <c r="B78" s="230" t="s">
        <v>485</v>
      </c>
      <c r="C78" s="229" t="s">
        <v>121</v>
      </c>
    </row>
    <row r="79" spans="1:3" x14ac:dyDescent="0.2">
      <c r="A79" s="229">
        <v>10</v>
      </c>
      <c r="B79" s="230" t="s">
        <v>486</v>
      </c>
      <c r="C79" s="229" t="s">
        <v>121</v>
      </c>
    </row>
    <row r="80" spans="1:3" x14ac:dyDescent="0.2">
      <c r="A80" s="231">
        <v>11</v>
      </c>
      <c r="B80" s="232" t="s">
        <v>488</v>
      </c>
      <c r="C80" s="231">
        <v>1.2</v>
      </c>
    </row>
    <row r="81" spans="1:3" x14ac:dyDescent="0.2">
      <c r="A81" s="231">
        <v>12</v>
      </c>
      <c r="B81" s="232" t="s">
        <v>489</v>
      </c>
      <c r="C81" s="231">
        <v>1.2</v>
      </c>
    </row>
    <row r="82" spans="1:3" x14ac:dyDescent="0.2">
      <c r="A82" s="231">
        <v>13</v>
      </c>
      <c r="B82" s="232" t="s">
        <v>490</v>
      </c>
      <c r="C82" s="231">
        <v>1.7</v>
      </c>
    </row>
    <row r="83" spans="1:3" x14ac:dyDescent="0.2">
      <c r="A83" s="231">
        <v>14</v>
      </c>
      <c r="B83" s="232" t="s">
        <v>873</v>
      </c>
      <c r="C83" s="231">
        <v>1.8</v>
      </c>
    </row>
    <row r="85" spans="1:3" x14ac:dyDescent="0.2">
      <c r="A85" s="233"/>
      <c r="B85" s="227" t="s">
        <v>491</v>
      </c>
      <c r="C85" s="233"/>
    </row>
    <row r="86" spans="1:3" x14ac:dyDescent="0.2">
      <c r="A86" s="231">
        <v>15</v>
      </c>
      <c r="B86" s="232" t="s">
        <v>492</v>
      </c>
      <c r="C86" s="231">
        <v>1.9</v>
      </c>
    </row>
    <row r="87" spans="1:3" x14ac:dyDescent="0.2">
      <c r="A87" s="231">
        <v>16</v>
      </c>
      <c r="B87" s="232" t="s">
        <v>493</v>
      </c>
      <c r="C87" s="231">
        <v>1.9</v>
      </c>
    </row>
    <row r="88" spans="1:3" x14ac:dyDescent="0.2">
      <c r="A88" s="231">
        <v>17</v>
      </c>
      <c r="B88" s="232" t="s">
        <v>494</v>
      </c>
      <c r="C88" s="231" t="s">
        <v>867</v>
      </c>
    </row>
    <row r="89" spans="1:3" ht="28.5" x14ac:dyDescent="0.2">
      <c r="A89" s="231">
        <v>18</v>
      </c>
      <c r="B89" s="232" t="s">
        <v>874</v>
      </c>
      <c r="C89" s="231">
        <v>1.1000000000000001</v>
      </c>
    </row>
    <row r="91" spans="1:3" x14ac:dyDescent="0.2">
      <c r="A91" s="233"/>
      <c r="B91" s="227" t="s">
        <v>102</v>
      </c>
      <c r="C91" s="233"/>
    </row>
    <row r="92" spans="1:3" x14ac:dyDescent="0.2">
      <c r="A92" s="231">
        <v>19</v>
      </c>
      <c r="B92" s="232" t="s">
        <v>495</v>
      </c>
      <c r="C92" s="231">
        <v>8.1</v>
      </c>
    </row>
    <row r="93" spans="1:3" x14ac:dyDescent="0.2">
      <c r="A93" s="231">
        <v>20</v>
      </c>
      <c r="B93" s="232" t="s">
        <v>496</v>
      </c>
      <c r="C93" s="231">
        <v>8.4</v>
      </c>
    </row>
    <row r="94" spans="1:3" x14ac:dyDescent="0.2">
      <c r="A94" s="231">
        <v>21</v>
      </c>
      <c r="B94" s="242" t="s">
        <v>497</v>
      </c>
      <c r="C94" s="231">
        <v>8.5</v>
      </c>
    </row>
    <row r="95" spans="1:3" x14ac:dyDescent="0.2">
      <c r="A95" s="231">
        <v>22</v>
      </c>
      <c r="B95" s="232" t="s">
        <v>498</v>
      </c>
      <c r="C95" s="231">
        <v>8.6</v>
      </c>
    </row>
    <row r="96" spans="1:3" x14ac:dyDescent="0.2">
      <c r="A96" s="231">
        <v>23</v>
      </c>
      <c r="B96" s="232" t="s">
        <v>499</v>
      </c>
      <c r="C96" s="231">
        <v>8.3000000000000007</v>
      </c>
    </row>
    <row r="97" spans="1:3" ht="28.5" x14ac:dyDescent="0.2">
      <c r="A97" s="231">
        <v>24</v>
      </c>
      <c r="B97" s="232" t="s">
        <v>875</v>
      </c>
      <c r="C97" s="231">
        <v>6.1</v>
      </c>
    </row>
    <row r="98" spans="1:3" x14ac:dyDescent="0.2">
      <c r="A98" s="231">
        <v>25</v>
      </c>
      <c r="B98" s="232" t="s">
        <v>500</v>
      </c>
      <c r="C98" s="231">
        <v>6.2</v>
      </c>
    </row>
    <row r="99" spans="1:3" x14ac:dyDescent="0.2">
      <c r="A99" s="229">
        <v>26</v>
      </c>
      <c r="B99" s="230" t="s">
        <v>501</v>
      </c>
      <c r="C99" s="229" t="s">
        <v>121</v>
      </c>
    </row>
    <row r="101" spans="1:3" x14ac:dyDescent="0.2">
      <c r="A101" s="233"/>
      <c r="B101" s="227" t="s">
        <v>502</v>
      </c>
      <c r="C101" s="233"/>
    </row>
    <row r="102" spans="1:3" ht="28.5" x14ac:dyDescent="0.2">
      <c r="A102" s="231">
        <v>27</v>
      </c>
      <c r="B102" s="232" t="s">
        <v>921</v>
      </c>
      <c r="C102" s="231">
        <v>9.1</v>
      </c>
    </row>
    <row r="103" spans="1:3" ht="28.5" x14ac:dyDescent="0.2">
      <c r="A103" s="231">
        <v>28</v>
      </c>
      <c r="B103" s="232" t="s">
        <v>503</v>
      </c>
      <c r="C103" s="231">
        <v>9.1999999999999993</v>
      </c>
    </row>
    <row r="104" spans="1:3" ht="28.5" x14ac:dyDescent="0.2">
      <c r="A104" s="231">
        <v>29</v>
      </c>
      <c r="B104" s="232" t="s">
        <v>504</v>
      </c>
      <c r="C104" s="231">
        <v>9.3000000000000007</v>
      </c>
    </row>
    <row r="105" spans="1:3" x14ac:dyDescent="0.2">
      <c r="A105" s="231">
        <v>30</v>
      </c>
      <c r="B105" s="232" t="s">
        <v>505</v>
      </c>
      <c r="C105" s="231">
        <v>9.4</v>
      </c>
    </row>
    <row r="106" spans="1:3" x14ac:dyDescent="0.2">
      <c r="A106" s="231">
        <v>31</v>
      </c>
      <c r="B106" s="232" t="s">
        <v>506</v>
      </c>
      <c r="C106" s="231">
        <v>9.5</v>
      </c>
    </row>
    <row r="107" spans="1:3" x14ac:dyDescent="0.2">
      <c r="A107" s="231">
        <v>32</v>
      </c>
      <c r="B107" s="232" t="s">
        <v>507</v>
      </c>
      <c r="C107" s="231">
        <v>9.5</v>
      </c>
    </row>
    <row r="108" spans="1:3" x14ac:dyDescent="0.2">
      <c r="A108" s="231">
        <v>33</v>
      </c>
      <c r="B108" s="239" t="s">
        <v>876</v>
      </c>
      <c r="C108" s="231">
        <v>9.6</v>
      </c>
    </row>
    <row r="109" spans="1:3" x14ac:dyDescent="0.2">
      <c r="A109" s="231">
        <v>34</v>
      </c>
      <c r="B109" s="232" t="s">
        <v>877</v>
      </c>
      <c r="C109" s="231">
        <v>9.6999999999999993</v>
      </c>
    </row>
    <row r="110" spans="1:3" x14ac:dyDescent="0.2">
      <c r="A110" s="231">
        <v>35</v>
      </c>
      <c r="B110" s="232" t="s">
        <v>878</v>
      </c>
      <c r="C110" s="231">
        <v>9.8000000000000007</v>
      </c>
    </row>
    <row r="112" spans="1:3" x14ac:dyDescent="0.2">
      <c r="A112" s="233"/>
      <c r="B112" s="227" t="s">
        <v>103</v>
      </c>
      <c r="C112" s="233"/>
    </row>
    <row r="113" spans="1:3" x14ac:dyDescent="0.2">
      <c r="A113" s="231">
        <v>36</v>
      </c>
      <c r="B113" s="232" t="s">
        <v>508</v>
      </c>
      <c r="C113" s="231">
        <v>7.1</v>
      </c>
    </row>
    <row r="114" spans="1:3" x14ac:dyDescent="0.2">
      <c r="A114" s="231">
        <v>37</v>
      </c>
      <c r="B114" s="232" t="s">
        <v>509</v>
      </c>
      <c r="C114" s="231">
        <v>7.8</v>
      </c>
    </row>
    <row r="115" spans="1:3" x14ac:dyDescent="0.2">
      <c r="A115" s="231">
        <v>38</v>
      </c>
      <c r="B115" s="232" t="s">
        <v>510</v>
      </c>
      <c r="C115" s="231">
        <v>7.9</v>
      </c>
    </row>
    <row r="116" spans="1:3" x14ac:dyDescent="0.2">
      <c r="A116" s="229">
        <v>39</v>
      </c>
      <c r="B116" s="230" t="s">
        <v>511</v>
      </c>
      <c r="C116" s="229" t="s">
        <v>121</v>
      </c>
    </row>
  </sheetData>
  <mergeCells count="1">
    <mergeCell ref="C13:C14"/>
  </mergeCells>
  <pageMargins left="0.25" right="0.25" top="0.75" bottom="0.75" header="0.3" footer="0.3"/>
  <pageSetup paperSize="9" scale="88" fitToHeight="0" orientation="portrait" r:id="rId1"/>
  <headerFooter>
    <oddHeader>&amp;C2013 Victorian AOD Workforce Survey aggregate  report</oddHeader>
    <oddFooter>&amp;A</oddFooter>
  </headerFooter>
  <rowBreaks count="2" manualBreakCount="2">
    <brk id="39" max="16383" man="1"/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zoomScale="75" zoomScaleNormal="75" zoomScaleSheetLayoutView="75" workbookViewId="0">
      <selection sqref="A1:H1"/>
    </sheetView>
  </sheetViews>
  <sheetFormatPr defaultColWidth="6.59765625" defaultRowHeight="18.75" customHeight="1" zeroHeight="1" x14ac:dyDescent="0.25"/>
  <cols>
    <col min="1" max="1" width="37.3984375" style="2" customWidth="1"/>
    <col min="2" max="2" width="29.09765625" style="2" customWidth="1"/>
    <col min="3" max="8" width="20.69921875" style="2" customWidth="1"/>
    <col min="9" max="9" width="8.09765625" style="2" customWidth="1"/>
    <col min="10" max="16384" width="6.59765625" style="2"/>
  </cols>
  <sheetData>
    <row r="1" spans="1:8" s="33" customFormat="1" ht="55.5" customHeight="1" x14ac:dyDescent="0.2">
      <c r="A1" s="244" t="s">
        <v>922</v>
      </c>
      <c r="B1" s="244"/>
      <c r="C1" s="244"/>
      <c r="D1" s="244"/>
      <c r="E1" s="244"/>
      <c r="F1" s="244"/>
      <c r="G1" s="244"/>
      <c r="H1" s="244"/>
    </row>
    <row r="2" spans="1:8" ht="18.75" customHeight="1" x14ac:dyDescent="0.25"/>
    <row r="3" spans="1:8" ht="18.75" customHeight="1" x14ac:dyDescent="0.25"/>
    <row r="4" spans="1:8" s="3" customFormat="1" ht="18.75" customHeight="1" x14ac:dyDescent="0.25">
      <c r="A4" s="3" t="s">
        <v>0</v>
      </c>
      <c r="B4" s="3" t="s">
        <v>611</v>
      </c>
    </row>
    <row r="5" spans="1:8" ht="18.75" customHeight="1" x14ac:dyDescent="0.25">
      <c r="A5" s="4" t="s">
        <v>1</v>
      </c>
      <c r="B5" s="2" t="s">
        <v>656</v>
      </c>
    </row>
    <row r="6" spans="1:8" ht="18.75" customHeight="1" x14ac:dyDescent="0.25"/>
    <row r="7" spans="1:8" s="3" customFormat="1" ht="18.75" customHeight="1" x14ac:dyDescent="0.25">
      <c r="A7" s="21" t="s">
        <v>122</v>
      </c>
      <c r="B7" s="35" t="s">
        <v>521</v>
      </c>
      <c r="C7" s="36" t="s">
        <v>575</v>
      </c>
      <c r="D7" s="35" t="s">
        <v>513</v>
      </c>
      <c r="E7" s="36" t="s">
        <v>898</v>
      </c>
    </row>
    <row r="8" spans="1:8" ht="18.75" customHeight="1" x14ac:dyDescent="0.25">
      <c r="A8" s="21" t="s">
        <v>2</v>
      </c>
      <c r="B8" s="35">
        <v>341</v>
      </c>
      <c r="C8" s="36">
        <f>Table1[[#This Row],[Headcount]]/Table1[[#Totals],[Headcount]]</f>
        <v>0.1864406779661017</v>
      </c>
      <c r="D8" s="35">
        <v>239</v>
      </c>
      <c r="E8" s="36">
        <f>Table1[[#This Row],[EFT]]/Table1[[#Totals],[EFT]]</f>
        <v>0.17862481315396114</v>
      </c>
    </row>
    <row r="9" spans="1:8" ht="18.75" customHeight="1" x14ac:dyDescent="0.25">
      <c r="A9" s="21" t="s">
        <v>3</v>
      </c>
      <c r="B9" s="35">
        <v>1488</v>
      </c>
      <c r="C9" s="36">
        <f>Table1[[#This Row],[Headcount]]/Table1[[#Totals],[Headcount]]</f>
        <v>0.81355932203389836</v>
      </c>
      <c r="D9" s="35">
        <v>1099</v>
      </c>
      <c r="E9" s="36">
        <f>Table1[[#This Row],[EFT]]/Table1[[#Totals],[EFT]]</f>
        <v>0.82137518684603883</v>
      </c>
    </row>
    <row r="10" spans="1:8" ht="18.75" customHeight="1" x14ac:dyDescent="0.25">
      <c r="A10" s="2" t="s">
        <v>4</v>
      </c>
      <c r="B10" s="37">
        <f>SUBTOTAL(109,Table1[Headcount])</f>
        <v>1829</v>
      </c>
      <c r="C10" s="38">
        <f>SUBTOTAL(109,Table1[% total headcount])</f>
        <v>1</v>
      </c>
      <c r="D10" s="37">
        <f>SUBTOTAL(109,Table1[EFT])</f>
        <v>1338</v>
      </c>
      <c r="E10" s="38">
        <f>SUBTOTAL(109,Table1[% total EFT])</f>
        <v>1</v>
      </c>
    </row>
    <row r="11" spans="1:8" ht="18.75" customHeight="1" x14ac:dyDescent="0.25">
      <c r="B11" s="37"/>
      <c r="C11" s="38"/>
      <c r="D11" s="37"/>
      <c r="E11" s="38"/>
    </row>
    <row r="12" spans="1:8" ht="18.75" customHeight="1" x14ac:dyDescent="0.25">
      <c r="B12" s="37"/>
      <c r="C12" s="38"/>
      <c r="D12" s="37"/>
      <c r="E12" s="38"/>
    </row>
    <row r="13" spans="1:8" ht="18.75" customHeight="1" x14ac:dyDescent="0.25">
      <c r="C13" s="38"/>
      <c r="D13" s="37"/>
      <c r="E13" s="38"/>
    </row>
    <row r="14" spans="1:8" ht="18.75" customHeight="1" x14ac:dyDescent="0.25">
      <c r="A14" s="3" t="s">
        <v>5</v>
      </c>
      <c r="B14" s="3" t="s">
        <v>612</v>
      </c>
      <c r="C14" s="38"/>
      <c r="D14" s="37"/>
      <c r="E14" s="38"/>
    </row>
    <row r="15" spans="1:8" ht="18.75" customHeight="1" x14ac:dyDescent="0.25">
      <c r="A15" s="4" t="s">
        <v>1</v>
      </c>
      <c r="B15" s="2" t="s">
        <v>657</v>
      </c>
      <c r="C15" s="38"/>
      <c r="D15" s="37"/>
      <c r="E15" s="38"/>
    </row>
    <row r="16" spans="1:8" ht="18.75" customHeight="1" x14ac:dyDescent="0.25"/>
    <row r="17" spans="1:5" ht="18.75" customHeight="1" x14ac:dyDescent="0.25">
      <c r="A17" s="21" t="s">
        <v>512</v>
      </c>
      <c r="B17" s="35" t="s">
        <v>521</v>
      </c>
      <c r="C17" s="35" t="s">
        <v>575</v>
      </c>
      <c r="D17" s="35" t="s">
        <v>513</v>
      </c>
      <c r="E17" s="35" t="s">
        <v>898</v>
      </c>
    </row>
    <row r="18" spans="1:5" ht="18.75" customHeight="1" x14ac:dyDescent="0.25">
      <c r="A18" s="39" t="s">
        <v>514</v>
      </c>
      <c r="B18" s="40">
        <v>1470</v>
      </c>
      <c r="C18" s="41">
        <f t="shared" ref="C18:C25" si="0">B18/(SUM($B$18:$B$25))</f>
        <v>0.8037178786221979</v>
      </c>
      <c r="D18" s="42">
        <v>1045.2825000000003</v>
      </c>
      <c r="E18" s="43">
        <f t="shared" ref="E18:E25" si="1">D18/(SUM($D$18:$D$25))</f>
        <v>0.78123779645847402</v>
      </c>
    </row>
    <row r="19" spans="1:5" ht="18.75" customHeight="1" x14ac:dyDescent="0.25">
      <c r="A19" s="39" t="s">
        <v>515</v>
      </c>
      <c r="B19" s="40">
        <v>94</v>
      </c>
      <c r="C19" s="41">
        <f t="shared" si="0"/>
        <v>5.139420448332422E-2</v>
      </c>
      <c r="D19" s="42">
        <v>78.349999999999994</v>
      </c>
      <c r="E19" s="43">
        <f t="shared" si="1"/>
        <v>5.8558314477207281E-2</v>
      </c>
    </row>
    <row r="20" spans="1:5" ht="18.75" customHeight="1" x14ac:dyDescent="0.25">
      <c r="A20" s="39" t="s">
        <v>516</v>
      </c>
      <c r="B20" s="40">
        <v>71</v>
      </c>
      <c r="C20" s="41">
        <f t="shared" si="0"/>
        <v>3.8819026790595956E-2</v>
      </c>
      <c r="D20" s="42">
        <v>55.400000000000013</v>
      </c>
      <c r="E20" s="43">
        <f t="shared" si="1"/>
        <v>4.140562376563222E-2</v>
      </c>
    </row>
    <row r="21" spans="1:5" ht="18.75" customHeight="1" x14ac:dyDescent="0.25">
      <c r="A21" s="39" t="s">
        <v>517</v>
      </c>
      <c r="B21" s="40">
        <v>14</v>
      </c>
      <c r="C21" s="41">
        <f t="shared" si="0"/>
        <v>7.654455986878075E-3</v>
      </c>
      <c r="D21" s="42">
        <v>13.8</v>
      </c>
      <c r="E21" s="43">
        <f t="shared" si="1"/>
        <v>1.0314036244868674E-2</v>
      </c>
    </row>
    <row r="22" spans="1:5" ht="18.75" customHeight="1" x14ac:dyDescent="0.25">
      <c r="A22" s="39" t="s">
        <v>518</v>
      </c>
      <c r="B22" s="40">
        <v>66</v>
      </c>
      <c r="C22" s="41">
        <f t="shared" si="0"/>
        <v>3.6085292509568073E-2</v>
      </c>
      <c r="D22" s="42">
        <v>45.800000000000004</v>
      </c>
      <c r="E22" s="43">
        <f t="shared" si="1"/>
        <v>3.4230642030071395E-2</v>
      </c>
    </row>
    <row r="23" spans="1:5" ht="18.75" customHeight="1" x14ac:dyDescent="0.25">
      <c r="A23" s="39" t="s">
        <v>519</v>
      </c>
      <c r="B23" s="40">
        <v>32</v>
      </c>
      <c r="C23" s="41">
        <f t="shared" si="0"/>
        <v>1.7495899398578457E-2</v>
      </c>
      <c r="D23" s="42">
        <v>28.6</v>
      </c>
      <c r="E23" s="43">
        <f t="shared" si="1"/>
        <v>2.1375466420524934E-2</v>
      </c>
    </row>
    <row r="24" spans="1:5" ht="18.75" customHeight="1" x14ac:dyDescent="0.25">
      <c r="A24" s="39" t="s">
        <v>520</v>
      </c>
      <c r="B24" s="40">
        <v>6</v>
      </c>
      <c r="C24" s="41">
        <f t="shared" si="0"/>
        <v>3.2804811372334607E-3</v>
      </c>
      <c r="D24" s="42">
        <v>3.75</v>
      </c>
      <c r="E24" s="43">
        <f t="shared" si="1"/>
        <v>2.8027272404534437E-3</v>
      </c>
    </row>
    <row r="25" spans="1:5" ht="18.75" customHeight="1" x14ac:dyDescent="0.25">
      <c r="A25" s="39" t="s">
        <v>41</v>
      </c>
      <c r="B25" s="40">
        <v>76</v>
      </c>
      <c r="C25" s="41">
        <f t="shared" si="0"/>
        <v>4.1552761071623839E-2</v>
      </c>
      <c r="D25" s="42">
        <v>67</v>
      </c>
      <c r="E25" s="43">
        <f t="shared" si="1"/>
        <v>5.0075393362768193E-2</v>
      </c>
    </row>
    <row r="26" spans="1:5" ht="18.75" customHeight="1" x14ac:dyDescent="0.25">
      <c r="A26" s="39" t="s">
        <v>4</v>
      </c>
      <c r="B26" s="35">
        <f>SUBTOTAL(109,Table2[Headcount])</f>
        <v>1829</v>
      </c>
      <c r="C26" s="44">
        <f>SUBTOTAL(109,Table2[% total headcount])</f>
        <v>0.99999999999999989</v>
      </c>
      <c r="D26" s="42">
        <f>SUBTOTAL(109,Table2[EFT])</f>
        <v>1337.9825000000001</v>
      </c>
      <c r="E26" s="44">
        <f>SUBTOTAL(109,Table2[% total EFT])</f>
        <v>1.0000000000000002</v>
      </c>
    </row>
    <row r="27" spans="1:5" ht="18.75" customHeight="1" x14ac:dyDescent="0.25">
      <c r="B27" s="34"/>
      <c r="C27" s="28"/>
      <c r="D27" s="34"/>
      <c r="E27" s="28"/>
    </row>
    <row r="28" spans="1:5" ht="18.75" customHeight="1" x14ac:dyDescent="0.25">
      <c r="B28" s="34"/>
      <c r="C28" s="28"/>
      <c r="D28" s="34"/>
      <c r="E28" s="28"/>
    </row>
    <row r="29" spans="1:5" ht="18.75" customHeight="1" x14ac:dyDescent="0.25"/>
    <row r="30" spans="1:5" ht="18.75" customHeight="1" x14ac:dyDescent="0.25">
      <c r="A30" s="3" t="s">
        <v>91</v>
      </c>
      <c r="B30" s="3" t="s">
        <v>613</v>
      </c>
      <c r="C30" s="38"/>
      <c r="D30" s="37"/>
      <c r="E30" s="38"/>
    </row>
    <row r="31" spans="1:5" ht="18.75" customHeight="1" x14ac:dyDescent="0.25">
      <c r="A31" s="4" t="s">
        <v>1</v>
      </c>
      <c r="B31" s="2" t="s">
        <v>656</v>
      </c>
      <c r="C31" s="38"/>
      <c r="D31" s="37"/>
      <c r="E31" s="38"/>
    </row>
    <row r="32" spans="1:5" ht="18.75" customHeight="1" x14ac:dyDescent="0.25"/>
    <row r="33" spans="1:5" ht="18.75" customHeight="1" x14ac:dyDescent="0.25">
      <c r="A33" s="21" t="s">
        <v>512</v>
      </c>
      <c r="B33" s="35" t="s">
        <v>521</v>
      </c>
      <c r="C33" s="35" t="s">
        <v>575</v>
      </c>
      <c r="D33" s="35" t="s">
        <v>513</v>
      </c>
      <c r="E33" s="35" t="s">
        <v>898</v>
      </c>
    </row>
    <row r="34" spans="1:5" ht="18.75" customHeight="1" x14ac:dyDescent="0.25">
      <c r="A34" s="39" t="s">
        <v>2</v>
      </c>
      <c r="B34" s="40">
        <v>1170</v>
      </c>
      <c r="C34" s="41">
        <f>B34/(SUM($B$18:$B$25))</f>
        <v>0.63969382176052492</v>
      </c>
      <c r="D34" s="42">
        <v>836.53300000000002</v>
      </c>
      <c r="E34" s="43">
        <f>D34/(SUM($D$18:$D$25))</f>
        <v>0.62521968710353082</v>
      </c>
    </row>
    <row r="35" spans="1:5" ht="18.75" customHeight="1" x14ac:dyDescent="0.25">
      <c r="A35" s="39" t="s">
        <v>3</v>
      </c>
      <c r="B35" s="40">
        <v>300</v>
      </c>
      <c r="C35" s="41">
        <f>B35/(SUM($B$18:$B$25))</f>
        <v>0.16402405686167304</v>
      </c>
      <c r="D35" s="42">
        <v>208.74949999999998</v>
      </c>
      <c r="E35" s="43">
        <f>D35/(SUM($D$18:$D$25))</f>
        <v>0.15601810935494295</v>
      </c>
    </row>
    <row r="36" spans="1:5" s="3" customFormat="1" ht="18.75" customHeight="1" x14ac:dyDescent="0.25">
      <c r="A36" s="39" t="s">
        <v>4</v>
      </c>
      <c r="B36" s="35">
        <f>SUBTOTAL(109,Table29[Headcount])</f>
        <v>1470</v>
      </c>
      <c r="C36" s="44">
        <f>SUBTOTAL(109,Table29[% total headcount])</f>
        <v>0.8037178786221979</v>
      </c>
      <c r="D36" s="42">
        <f>SUBTOTAL(109,Table29[EFT])</f>
        <v>1045.2825</v>
      </c>
      <c r="E36" s="44">
        <f>SUBTOTAL(109,Table29[% total EFT])</f>
        <v>0.7812377964584738</v>
      </c>
    </row>
    <row r="37" spans="1:5" s="3" customFormat="1" ht="18.75" customHeight="1" x14ac:dyDescent="0.25">
      <c r="A37" s="39"/>
      <c r="B37" s="35"/>
      <c r="C37" s="44"/>
      <c r="D37" s="42"/>
      <c r="E37" s="44"/>
    </row>
    <row r="38" spans="1:5" s="3" customFormat="1" ht="18.75" customHeight="1" x14ac:dyDescent="0.25">
      <c r="A38" s="39"/>
      <c r="B38" s="35"/>
      <c r="C38" s="44"/>
      <c r="D38" s="42"/>
      <c r="E38" s="2"/>
    </row>
    <row r="39" spans="1:5" s="3" customFormat="1" ht="18.75" customHeight="1" x14ac:dyDescent="0.25">
      <c r="A39" s="39"/>
      <c r="B39" s="35"/>
      <c r="C39" s="44"/>
      <c r="D39" s="42"/>
      <c r="E39" s="44"/>
    </row>
    <row r="40" spans="1:5" s="3" customFormat="1" ht="18.75" customHeight="1" x14ac:dyDescent="0.25">
      <c r="A40" s="3" t="s">
        <v>109</v>
      </c>
      <c r="B40" s="3" t="s">
        <v>601</v>
      </c>
      <c r="D40" s="2"/>
      <c r="E40" s="2"/>
    </row>
    <row r="41" spans="1:5" s="3" customFormat="1" ht="18.75" customHeight="1" x14ac:dyDescent="0.25">
      <c r="A41" s="4" t="s">
        <v>1</v>
      </c>
      <c r="B41" s="2" t="s">
        <v>658</v>
      </c>
      <c r="D41" s="2"/>
    </row>
    <row r="42" spans="1:5" s="3" customFormat="1" ht="18.75" customHeight="1" x14ac:dyDescent="0.25">
      <c r="A42" s="5"/>
      <c r="B42" s="5"/>
      <c r="C42" s="5"/>
      <c r="D42" s="2"/>
      <c r="E42" s="2"/>
    </row>
    <row r="43" spans="1:5" s="3" customFormat="1" ht="18.75" customHeight="1" x14ac:dyDescent="0.25">
      <c r="A43" s="21" t="s">
        <v>122</v>
      </c>
      <c r="B43" s="35" t="s">
        <v>18</v>
      </c>
      <c r="C43" s="35" t="s">
        <v>619</v>
      </c>
      <c r="D43" s="2"/>
      <c r="E43" s="2"/>
    </row>
    <row r="44" spans="1:5" s="3" customFormat="1" ht="18.75" customHeight="1" x14ac:dyDescent="0.25">
      <c r="A44" s="45" t="s">
        <v>2</v>
      </c>
      <c r="B44" s="46">
        <v>3</v>
      </c>
      <c r="C44" s="41">
        <f>Table3[[#This Row],[Frequency]]/Table3[[#Totals],[Frequency]]</f>
        <v>1.1811023622047244E-2</v>
      </c>
      <c r="D44" s="2"/>
      <c r="E44" s="2"/>
    </row>
    <row r="45" spans="1:5" s="3" customFormat="1" ht="18.75" customHeight="1" x14ac:dyDescent="0.25">
      <c r="A45" s="45" t="s">
        <v>3</v>
      </c>
      <c r="B45" s="46">
        <v>251</v>
      </c>
      <c r="C45" s="41">
        <f>Table3[[#This Row],[Frequency]]/Table3[[#Totals],[Frequency]]</f>
        <v>0.98818897637795278</v>
      </c>
      <c r="D45" s="2"/>
      <c r="E45" s="2"/>
    </row>
    <row r="46" spans="1:5" s="3" customFormat="1" ht="18.75" customHeight="1" x14ac:dyDescent="0.25">
      <c r="A46" s="2" t="s">
        <v>4</v>
      </c>
      <c r="B46" s="37">
        <f>SUBTOTAL(109,Table3[Frequency])</f>
        <v>254</v>
      </c>
      <c r="C46" s="38">
        <f>SUBTOTAL(109,Table3[% total])</f>
        <v>1</v>
      </c>
      <c r="D46" s="2"/>
      <c r="E46" s="2"/>
    </row>
    <row r="47" spans="1:5" s="3" customFormat="1" ht="18.75" customHeight="1" x14ac:dyDescent="0.25">
      <c r="A47"/>
      <c r="B47"/>
      <c r="C47"/>
      <c r="D47" s="2"/>
      <c r="E47" s="2"/>
    </row>
    <row r="48" spans="1:5" s="3" customFormat="1" ht="18.75" customHeight="1" x14ac:dyDescent="0.25">
      <c r="A48" s="2"/>
      <c r="B48" s="2"/>
      <c r="C48" s="2"/>
    </row>
    <row r="49" spans="1:8" s="5" customFormat="1" ht="18.75" customHeight="1" x14ac:dyDescent="0.25">
      <c r="A49" s="3"/>
      <c r="B49" s="3"/>
      <c r="C49" s="3"/>
      <c r="D49" s="3"/>
      <c r="E49" s="3"/>
    </row>
    <row r="50" spans="1:8" s="3" customFormat="1" ht="18.75" customHeight="1" x14ac:dyDescent="0.25">
      <c r="A50" s="3" t="s">
        <v>130</v>
      </c>
      <c r="B50" s="3" t="s">
        <v>602</v>
      </c>
      <c r="D50" s="5"/>
      <c r="E50" s="5"/>
      <c r="F50" s="6"/>
    </row>
    <row r="51" spans="1:8" ht="18.75" customHeight="1" x14ac:dyDescent="0.25">
      <c r="A51" s="4" t="s">
        <v>1</v>
      </c>
      <c r="B51" s="2" t="s">
        <v>658</v>
      </c>
      <c r="C51" s="3"/>
      <c r="D51" s="6"/>
      <c r="E51" s="6"/>
      <c r="F51" s="6"/>
    </row>
    <row r="52" spans="1:8" ht="18.75" customHeight="1" x14ac:dyDescent="0.25">
      <c r="A52" s="5"/>
      <c r="B52" s="5"/>
      <c r="C52" s="5"/>
      <c r="D52" s="6"/>
      <c r="E52" s="6"/>
      <c r="F52" s="6"/>
    </row>
    <row r="53" spans="1:8" ht="18.75" customHeight="1" x14ac:dyDescent="0.25">
      <c r="A53" s="21" t="s">
        <v>122</v>
      </c>
      <c r="B53" s="35" t="s">
        <v>18</v>
      </c>
      <c r="C53" s="35" t="s">
        <v>619</v>
      </c>
      <c r="D53" s="6"/>
      <c r="E53" s="6"/>
      <c r="F53" s="6"/>
    </row>
    <row r="54" spans="1:8" ht="18.75" customHeight="1" x14ac:dyDescent="0.25">
      <c r="A54" s="45" t="s">
        <v>2</v>
      </c>
      <c r="B54" s="46">
        <v>98</v>
      </c>
      <c r="C54" s="41">
        <f>Table4[[#This Row],[Frequency]]/Table4[[#Totals],[Frequency]]</f>
        <v>0.25</v>
      </c>
      <c r="D54" s="6"/>
      <c r="E54" s="6"/>
      <c r="F54" s="6"/>
    </row>
    <row r="55" spans="1:8" ht="18.75" customHeight="1" x14ac:dyDescent="0.25">
      <c r="A55" s="45" t="s">
        <v>3</v>
      </c>
      <c r="B55" s="46">
        <v>294</v>
      </c>
      <c r="C55" s="41">
        <f>Table4[[#This Row],[Frequency]]/Table4[[#Totals],[Frequency]]</f>
        <v>0.75</v>
      </c>
      <c r="D55" s="6"/>
      <c r="E55" s="6"/>
    </row>
    <row r="56" spans="1:8" s="3" customFormat="1" ht="18.75" customHeight="1" x14ac:dyDescent="0.25">
      <c r="A56" s="47" t="s">
        <v>4</v>
      </c>
      <c r="B56" s="35">
        <f>SUBTOTAL(109,Table4[Frequency])</f>
        <v>392</v>
      </c>
      <c r="C56" s="44">
        <f>SUBTOTAL(109,Table4[% total])</f>
        <v>1</v>
      </c>
      <c r="D56" s="2"/>
      <c r="E56" s="2"/>
    </row>
    <row r="57" spans="1:8" s="3" customFormat="1" ht="18.75" customHeight="1" x14ac:dyDescent="0.25">
      <c r="A57" s="47"/>
      <c r="B57" s="35"/>
      <c r="C57" s="44"/>
      <c r="D57" s="2"/>
      <c r="E57" s="2"/>
    </row>
    <row r="58" spans="1:8" s="3" customFormat="1" ht="18.75" customHeight="1" x14ac:dyDescent="0.25">
      <c r="A58" s="47"/>
      <c r="B58" s="35"/>
      <c r="C58" s="44"/>
      <c r="D58" s="2"/>
      <c r="E58" s="2"/>
    </row>
    <row r="59" spans="1:8" ht="18.75" customHeight="1" x14ac:dyDescent="0.25">
      <c r="A59" s="3"/>
      <c r="B59" s="3"/>
      <c r="C59" s="3"/>
    </row>
    <row r="60" spans="1:8" ht="18.75" customHeight="1" x14ac:dyDescent="0.25">
      <c r="A60" s="3" t="s">
        <v>525</v>
      </c>
      <c r="B60" s="3" t="s">
        <v>603</v>
      </c>
      <c r="C60" s="3"/>
    </row>
    <row r="61" spans="1:8" ht="18.75" customHeight="1" x14ac:dyDescent="0.25">
      <c r="A61" s="4" t="s">
        <v>1</v>
      </c>
      <c r="B61" s="2" t="s">
        <v>659</v>
      </c>
    </row>
    <row r="62" spans="1:8" ht="18.75" customHeight="1" x14ac:dyDescent="0.25"/>
    <row r="63" spans="1:8" s="7" customFormat="1" ht="18.75" customHeight="1" x14ac:dyDescent="0.25">
      <c r="A63" s="177" t="s">
        <v>122</v>
      </c>
      <c r="B63" s="178" t="s">
        <v>604</v>
      </c>
      <c r="C63" s="179" t="s">
        <v>605</v>
      </c>
      <c r="D63" s="178" t="s">
        <v>606</v>
      </c>
      <c r="E63" s="178" t="s">
        <v>607</v>
      </c>
      <c r="F63" s="178" t="s">
        <v>608</v>
      </c>
      <c r="G63" s="51"/>
      <c r="H63" s="2"/>
    </row>
    <row r="64" spans="1:8" s="7" customFormat="1" ht="18.75" customHeight="1" x14ac:dyDescent="0.25">
      <c r="A64" s="49" t="s">
        <v>609</v>
      </c>
      <c r="B64" s="50">
        <v>28</v>
      </c>
      <c r="C64" s="50">
        <v>3</v>
      </c>
      <c r="D64" s="50">
        <v>2</v>
      </c>
      <c r="E64" s="50">
        <v>0</v>
      </c>
      <c r="F64" s="50">
        <v>0</v>
      </c>
      <c r="G64" s="50"/>
      <c r="H64" s="2"/>
    </row>
    <row r="65" spans="1:8" s="7" customFormat="1" ht="18.75" customHeight="1" x14ac:dyDescent="0.25">
      <c r="A65" s="49" t="s">
        <v>610</v>
      </c>
      <c r="B65" s="50">
        <v>27</v>
      </c>
      <c r="C65" s="50">
        <v>10</v>
      </c>
      <c r="D65" s="50">
        <v>2</v>
      </c>
      <c r="E65" s="50">
        <v>0</v>
      </c>
      <c r="F65" s="50">
        <v>9</v>
      </c>
      <c r="G65" s="50"/>
      <c r="H65" s="2"/>
    </row>
    <row r="66" spans="1:8" s="7" customFormat="1" ht="18.75" customHeight="1" x14ac:dyDescent="0.25">
      <c r="A66" s="2" t="s">
        <v>4</v>
      </c>
      <c r="B66" s="37">
        <f>SUBTOTAL(109,Table5[0-9 AOD EFT])</f>
        <v>55</v>
      </c>
      <c r="C66" s="37">
        <f>SUBTOTAL(109,Table5[10-19 AOD EFT])</f>
        <v>13</v>
      </c>
      <c r="D66" s="37">
        <f>SUBTOTAL(109,Table5[20-29 AOD EFT])</f>
        <v>4</v>
      </c>
      <c r="E66" s="37">
        <f>SUBTOTAL(109,Table5[30-39 AOD EFT])</f>
        <v>0</v>
      </c>
      <c r="F66" s="37">
        <f>SUBTOTAL(109,Table5[&gt;40 AOD EFT])</f>
        <v>9</v>
      </c>
      <c r="G66" s="37"/>
    </row>
    <row r="67" spans="1:8" s="7" customFormat="1" ht="18.75" customHeight="1" x14ac:dyDescent="0.25">
      <c r="A67" s="2"/>
      <c r="B67" s="37"/>
      <c r="C67" s="37"/>
      <c r="D67" s="37"/>
      <c r="E67" s="37"/>
      <c r="F67" s="37"/>
      <c r="G67" s="37"/>
    </row>
    <row r="68" spans="1:8" s="7" customFormat="1" ht="18.75" customHeight="1" x14ac:dyDescent="0.25">
      <c r="A68" s="2"/>
      <c r="B68" s="37"/>
      <c r="C68" s="37"/>
      <c r="D68" s="37"/>
      <c r="E68" s="37"/>
      <c r="F68" s="37"/>
      <c r="G68" s="37"/>
    </row>
    <row r="69" spans="1:8" s="7" customFormat="1" ht="18.75" customHeight="1" x14ac:dyDescent="0.25">
      <c r="A69" s="8"/>
      <c r="B69" s="8"/>
      <c r="C69" s="8"/>
      <c r="D69" s="8"/>
    </row>
    <row r="70" spans="1:8" s="7" customFormat="1" ht="18.75" customHeight="1" x14ac:dyDescent="0.25">
      <c r="A70" s="3" t="s">
        <v>526</v>
      </c>
      <c r="B70" s="3" t="s">
        <v>614</v>
      </c>
      <c r="C70" s="8"/>
      <c r="D70" s="8"/>
    </row>
    <row r="71" spans="1:8" s="7" customFormat="1" ht="18.75" customHeight="1" x14ac:dyDescent="0.25">
      <c r="A71" s="4" t="s">
        <v>1</v>
      </c>
      <c r="B71" s="2" t="s">
        <v>660</v>
      </c>
      <c r="C71" s="8"/>
      <c r="D71" s="8"/>
    </row>
    <row r="72" spans="1:8" s="7" customFormat="1" ht="18.75" customHeight="1" x14ac:dyDescent="0.25">
      <c r="A72" s="4"/>
      <c r="B72" s="2"/>
      <c r="C72" s="8"/>
      <c r="D72" s="8"/>
    </row>
    <row r="73" spans="1:8" s="7" customFormat="1" ht="18.75" customHeight="1" x14ac:dyDescent="0.25">
      <c r="A73" s="21" t="s">
        <v>104</v>
      </c>
      <c r="B73" s="35" t="s">
        <v>923</v>
      </c>
      <c r="C73" s="35" t="s">
        <v>619</v>
      </c>
      <c r="D73" s="8"/>
    </row>
    <row r="74" spans="1:8" s="7" customFormat="1" ht="18.75" customHeight="1" x14ac:dyDescent="0.25">
      <c r="A74" s="45" t="s">
        <v>105</v>
      </c>
      <c r="B74" s="53">
        <f>C74*1470</f>
        <v>515.90610848937308</v>
      </c>
      <c r="C74" s="36">
        <v>0.35095653638732865</v>
      </c>
      <c r="D74" s="8"/>
    </row>
    <row r="75" spans="1:8" s="7" customFormat="1" ht="18.75" customHeight="1" x14ac:dyDescent="0.25">
      <c r="A75" s="45" t="s">
        <v>106</v>
      </c>
      <c r="B75" s="53">
        <f t="shared" ref="B75:B77" si="2">C75*1470</f>
        <v>507.19192774099673</v>
      </c>
      <c r="C75" s="36">
        <v>0.34502852227278691</v>
      </c>
      <c r="D75" s="8"/>
    </row>
    <row r="76" spans="1:8" s="7" customFormat="1" ht="18.75" customHeight="1" x14ac:dyDescent="0.25">
      <c r="A76" s="45" t="s">
        <v>107</v>
      </c>
      <c r="B76" s="53">
        <f t="shared" si="2"/>
        <v>318.76692051344691</v>
      </c>
      <c r="C76" s="36">
        <v>0.2168482452472428</v>
      </c>
      <c r="D76" s="8"/>
    </row>
    <row r="77" spans="1:8" s="7" customFormat="1" ht="18.75" customHeight="1" x14ac:dyDescent="0.25">
      <c r="A77" s="45" t="s">
        <v>108</v>
      </c>
      <c r="B77" s="53">
        <f t="shared" si="2"/>
        <v>128.13504325618325</v>
      </c>
      <c r="C77" s="36">
        <v>8.7166696092641674E-2</v>
      </c>
      <c r="D77" s="8"/>
    </row>
    <row r="78" spans="1:8" s="7" customFormat="1" ht="18.75" customHeight="1" x14ac:dyDescent="0.25">
      <c r="A78" s="2" t="s">
        <v>4</v>
      </c>
      <c r="B78" s="15">
        <f>SUBTOTAL(109,Table6[Total headcount])</f>
        <v>1470</v>
      </c>
      <c r="C78" s="38">
        <f>SUBTOTAL(109,Table6[% total])</f>
        <v>1</v>
      </c>
      <c r="D78" s="8"/>
    </row>
    <row r="79" spans="1:8" s="7" customFormat="1" ht="18.75" customHeight="1" x14ac:dyDescent="0.25">
      <c r="A79" s="2"/>
      <c r="B79" s="15"/>
      <c r="C79" s="38"/>
      <c r="D79" s="8"/>
    </row>
    <row r="80" spans="1:8" s="7" customFormat="1" ht="18.75" customHeight="1" x14ac:dyDescent="0.25">
      <c r="A80" s="2"/>
      <c r="B80" s="15"/>
      <c r="C80" s="38"/>
      <c r="D80" s="8"/>
    </row>
    <row r="81" spans="1:4" s="7" customFormat="1" ht="18.75" customHeight="1" x14ac:dyDescent="0.25">
      <c r="A81" s="2"/>
      <c r="B81" s="15"/>
      <c r="C81" s="38"/>
      <c r="D81" s="8"/>
    </row>
    <row r="82" spans="1:4" s="7" customFormat="1" ht="18.75" customHeight="1" x14ac:dyDescent="0.25">
      <c r="A82" s="3" t="s">
        <v>527</v>
      </c>
      <c r="B82" s="3" t="s">
        <v>861</v>
      </c>
      <c r="C82" s="8"/>
      <c r="D82" s="8"/>
    </row>
    <row r="83" spans="1:4" s="7" customFormat="1" ht="18.75" customHeight="1" x14ac:dyDescent="0.25">
      <c r="A83" s="4" t="s">
        <v>1</v>
      </c>
      <c r="B83" s="2" t="s">
        <v>924</v>
      </c>
      <c r="C83" s="8"/>
      <c r="D83" s="8"/>
    </row>
    <row r="84" spans="1:4" s="7" customFormat="1" ht="18.75" customHeight="1" x14ac:dyDescent="0.25">
      <c r="A84" s="4"/>
      <c r="B84" s="2"/>
      <c r="C84" s="8"/>
      <c r="D84" s="8"/>
    </row>
    <row r="85" spans="1:4" s="7" customFormat="1" ht="18.75" customHeight="1" x14ac:dyDescent="0.25">
      <c r="A85" s="21"/>
      <c r="B85" s="35"/>
      <c r="C85" s="35"/>
      <c r="D85" s="8"/>
    </row>
    <row r="86" spans="1:4" s="7" customFormat="1" ht="18.75" customHeight="1" x14ac:dyDescent="0.25">
      <c r="A86" s="117" t="s">
        <v>523</v>
      </c>
      <c r="B86" s="71" t="s">
        <v>3</v>
      </c>
      <c r="C86" s="71" t="s">
        <v>2</v>
      </c>
      <c r="D86" s="71" t="s">
        <v>4</v>
      </c>
    </row>
    <row r="87" spans="1:4" s="7" customFormat="1" ht="18.75" customHeight="1" x14ac:dyDescent="0.25">
      <c r="A87" s="117" t="s">
        <v>860</v>
      </c>
      <c r="B87" s="167">
        <v>0.66437500000000005</v>
      </c>
      <c r="C87" s="167">
        <v>0.69030303030302997</v>
      </c>
      <c r="D87" s="167">
        <v>0.67493827160493802</v>
      </c>
    </row>
    <row r="88" spans="1:4" s="7" customFormat="1" ht="18.75" customHeight="1" x14ac:dyDescent="0.25">
      <c r="A88" s="2"/>
      <c r="B88" s="15"/>
      <c r="C88" s="38"/>
      <c r="D88" s="8"/>
    </row>
    <row r="89" spans="1:4" s="7" customFormat="1" ht="18.75" customHeight="1" x14ac:dyDescent="0.25">
      <c r="A89" s="2"/>
      <c r="B89" s="15"/>
      <c r="C89" s="38"/>
      <c r="D89" s="8"/>
    </row>
    <row r="90" spans="1:4" ht="18.75" customHeight="1" x14ac:dyDescent="0.25">
      <c r="A90" s="52"/>
      <c r="B90" s="52"/>
      <c r="C90" s="54"/>
    </row>
    <row r="91" spans="1:4" ht="18.75" customHeight="1" x14ac:dyDescent="0.25">
      <c r="A91" s="3" t="s">
        <v>859</v>
      </c>
      <c r="B91" s="3" t="s">
        <v>615</v>
      </c>
      <c r="C91" s="54"/>
    </row>
    <row r="92" spans="1:4" ht="18.75" customHeight="1" x14ac:dyDescent="0.25">
      <c r="A92" s="4" t="s">
        <v>1</v>
      </c>
      <c r="B92" s="2" t="s">
        <v>661</v>
      </c>
      <c r="C92" s="8"/>
    </row>
    <row r="93" spans="1:4" ht="18.75" customHeight="1" x14ac:dyDescent="0.25"/>
    <row r="94" spans="1:4" ht="18.75" customHeight="1" x14ac:dyDescent="0.25">
      <c r="A94" s="21" t="s">
        <v>99</v>
      </c>
      <c r="B94" s="35" t="s">
        <v>528</v>
      </c>
      <c r="C94" s="35" t="s">
        <v>522</v>
      </c>
      <c r="D94" s="55" t="s">
        <v>575</v>
      </c>
    </row>
    <row r="95" spans="1:4" ht="18.75" customHeight="1" x14ac:dyDescent="0.25">
      <c r="A95" s="180" t="s">
        <v>529</v>
      </c>
      <c r="B95" s="35">
        <v>34078</v>
      </c>
      <c r="C95" s="55">
        <v>5.0199743146247311E-2</v>
      </c>
      <c r="D95" s="55">
        <v>3.505653483434553E-2</v>
      </c>
    </row>
    <row r="96" spans="1:4" ht="18.75" customHeight="1" x14ac:dyDescent="0.25">
      <c r="A96" s="180" t="s">
        <v>530</v>
      </c>
      <c r="B96" s="35">
        <v>34050</v>
      </c>
      <c r="C96" s="55">
        <v>9.8974120736621249E-2</v>
      </c>
      <c r="D96" s="55">
        <v>9.1344492173998912E-2</v>
      </c>
    </row>
    <row r="97" spans="1:4" ht="18.75" customHeight="1" x14ac:dyDescent="0.25">
      <c r="A97" s="180" t="s">
        <v>531</v>
      </c>
      <c r="B97" s="35">
        <v>34053</v>
      </c>
      <c r="C97" s="55">
        <v>6.6142720845275366E-2</v>
      </c>
      <c r="D97" s="55">
        <v>4.6659754110502147E-2</v>
      </c>
    </row>
    <row r="98" spans="1:4" ht="18.75" customHeight="1" x14ac:dyDescent="0.25">
      <c r="A98" s="180" t="s">
        <v>532</v>
      </c>
      <c r="B98" s="35">
        <v>34043</v>
      </c>
      <c r="C98" s="55">
        <v>1.4527210564406366E-2</v>
      </c>
      <c r="D98" s="55">
        <v>1.2343850293783638E-2</v>
      </c>
    </row>
    <row r="99" spans="1:4" ht="18.75" customHeight="1" x14ac:dyDescent="0.25">
      <c r="A99" s="180" t="s">
        <v>533</v>
      </c>
      <c r="B99" s="35">
        <v>34009</v>
      </c>
      <c r="C99" s="55">
        <v>9.5024370391557991E-3</v>
      </c>
      <c r="D99" s="55">
        <v>1.3331358317286329E-2</v>
      </c>
    </row>
    <row r="100" spans="1:4" ht="18.75" customHeight="1" x14ac:dyDescent="0.25">
      <c r="A100" s="180" t="s">
        <v>534</v>
      </c>
      <c r="B100" s="35">
        <v>34044</v>
      </c>
      <c r="C100" s="55">
        <v>0</v>
      </c>
      <c r="D100" s="55">
        <v>1.4812620352540366E-3</v>
      </c>
    </row>
    <row r="101" spans="1:4" ht="18.75" customHeight="1" x14ac:dyDescent="0.25">
      <c r="A101" s="180" t="s">
        <v>535</v>
      </c>
      <c r="B101" s="35">
        <v>34022</v>
      </c>
      <c r="C101" s="55">
        <v>9.9823581017394244E-3</v>
      </c>
      <c r="D101" s="55">
        <v>1.160321927615662E-2</v>
      </c>
    </row>
    <row r="102" spans="1:4" ht="18.75" customHeight="1" x14ac:dyDescent="0.25">
      <c r="A102" s="180" t="s">
        <v>536</v>
      </c>
      <c r="B102" s="35">
        <v>34004</v>
      </c>
      <c r="C102" s="55">
        <v>2.4379989979248212E-2</v>
      </c>
      <c r="D102" s="55">
        <v>4.0981582975361676E-2</v>
      </c>
    </row>
    <row r="103" spans="1:4" ht="18.75" customHeight="1" x14ac:dyDescent="0.25">
      <c r="A103" s="180" t="s">
        <v>537</v>
      </c>
      <c r="B103" s="35">
        <v>34212</v>
      </c>
      <c r="C103" s="55">
        <v>1.7277158253010546E-3</v>
      </c>
      <c r="D103" s="55">
        <v>4.9375401175134545E-3</v>
      </c>
    </row>
    <row r="104" spans="1:4" ht="18.75" customHeight="1" x14ac:dyDescent="0.25">
      <c r="A104" s="180" t="s">
        <v>538</v>
      </c>
      <c r="B104" s="35">
        <v>34074</v>
      </c>
      <c r="C104" s="55">
        <v>0.13002981269640773</v>
      </c>
      <c r="D104" s="55">
        <v>0.10072581839727449</v>
      </c>
    </row>
    <row r="105" spans="1:4" ht="18.75" customHeight="1" x14ac:dyDescent="0.25">
      <c r="A105" s="180" t="s">
        <v>539</v>
      </c>
      <c r="B105" s="35">
        <v>34211</v>
      </c>
      <c r="C105" s="55">
        <v>8.3026343826967351E-3</v>
      </c>
      <c r="D105" s="55">
        <v>1.431886634078902E-2</v>
      </c>
    </row>
    <row r="106" spans="1:4" ht="18.75" customHeight="1" x14ac:dyDescent="0.25">
      <c r="A106" s="180" t="s">
        <v>540</v>
      </c>
      <c r="B106" s="35">
        <v>34024</v>
      </c>
      <c r="C106" s="55">
        <v>1.7181174040493821E-2</v>
      </c>
      <c r="D106" s="55">
        <v>2.4687700587567276E-2</v>
      </c>
    </row>
    <row r="107" spans="1:4" ht="18.75" customHeight="1" x14ac:dyDescent="0.25">
      <c r="A107" s="180" t="s">
        <v>541</v>
      </c>
      <c r="B107" s="35">
        <v>34001</v>
      </c>
      <c r="C107" s="55">
        <v>9.4544449328974375E-3</v>
      </c>
      <c r="D107" s="55">
        <v>8.0481903915469319E-2</v>
      </c>
    </row>
    <row r="108" spans="1:4" ht="18.75" customHeight="1" x14ac:dyDescent="0.25">
      <c r="A108" s="180" t="s">
        <v>542</v>
      </c>
      <c r="B108" s="35">
        <v>34203</v>
      </c>
      <c r="C108" s="55">
        <v>1.0787665644754751E-2</v>
      </c>
      <c r="D108" s="55">
        <v>1.2837604305534983E-2</v>
      </c>
    </row>
    <row r="109" spans="1:4" ht="18.75" customHeight="1" x14ac:dyDescent="0.25">
      <c r="A109" s="180" t="s">
        <v>543</v>
      </c>
      <c r="B109" s="35">
        <v>34205</v>
      </c>
      <c r="C109" s="55">
        <v>2.2709864681457196E-2</v>
      </c>
      <c r="D109" s="55">
        <v>1.9009529452426802E-2</v>
      </c>
    </row>
    <row r="110" spans="1:4" ht="36" x14ac:dyDescent="0.25">
      <c r="A110" s="180" t="s">
        <v>544</v>
      </c>
      <c r="B110" s="35">
        <v>34201</v>
      </c>
      <c r="C110" s="55">
        <v>1.0519869691833088E-2</v>
      </c>
      <c r="D110" s="55">
        <v>9.3813262232755636E-3</v>
      </c>
    </row>
    <row r="111" spans="1:4" ht="18.75" customHeight="1" x14ac:dyDescent="0.25">
      <c r="A111" s="180" t="s">
        <v>886</v>
      </c>
      <c r="B111" s="35">
        <v>34208</v>
      </c>
      <c r="C111" s="55">
        <v>6.1986604443301167E-2</v>
      </c>
      <c r="D111" s="55">
        <v>5.060978620451291E-2</v>
      </c>
    </row>
    <row r="112" spans="1:4" ht="18.75" customHeight="1" x14ac:dyDescent="0.25">
      <c r="A112" s="180" t="s">
        <v>545</v>
      </c>
      <c r="B112" s="35">
        <v>34202</v>
      </c>
      <c r="C112" s="55">
        <v>5.0871632633864381E-3</v>
      </c>
      <c r="D112" s="55">
        <v>7.4063101762701826E-3</v>
      </c>
    </row>
    <row r="113" spans="1:4" ht="18.75" customHeight="1" x14ac:dyDescent="0.25">
      <c r="A113" s="180" t="s">
        <v>546</v>
      </c>
      <c r="B113" s="35">
        <v>34207</v>
      </c>
      <c r="C113" s="55">
        <v>2.9755105880184831E-3</v>
      </c>
      <c r="D113" s="55">
        <v>4.9375401175134545E-3</v>
      </c>
    </row>
    <row r="114" spans="1:4" ht="18.75" customHeight="1" x14ac:dyDescent="0.25">
      <c r="A114" s="180" t="s">
        <v>547</v>
      </c>
      <c r="B114" s="35">
        <v>34204</v>
      </c>
      <c r="C114" s="55">
        <v>7.8419101626164538E-3</v>
      </c>
      <c r="D114" s="55">
        <v>1.4812620352540366E-3</v>
      </c>
    </row>
    <row r="115" spans="1:4" ht="18.75" customHeight="1" x14ac:dyDescent="0.25">
      <c r="A115" s="180" t="s">
        <v>548</v>
      </c>
      <c r="B115" s="35">
        <v>34206</v>
      </c>
      <c r="C115" s="55">
        <v>0</v>
      </c>
      <c r="D115" s="55">
        <v>4.9375401175134545E-4</v>
      </c>
    </row>
    <row r="116" spans="1:4" ht="18.75" customHeight="1" x14ac:dyDescent="0.25">
      <c r="A116" s="180" t="s">
        <v>549</v>
      </c>
      <c r="B116" s="35">
        <v>34068</v>
      </c>
      <c r="C116" s="55">
        <v>1.5285485843288496E-2</v>
      </c>
      <c r="D116" s="55">
        <v>1.3825112329037674E-2</v>
      </c>
    </row>
    <row r="117" spans="1:4" ht="18.75" customHeight="1" x14ac:dyDescent="0.25">
      <c r="A117" s="180" t="s">
        <v>550</v>
      </c>
      <c r="B117" s="35">
        <v>34069</v>
      </c>
      <c r="C117" s="55">
        <v>6.7188948761707674E-3</v>
      </c>
      <c r="D117" s="55">
        <v>3.9500320940107636E-3</v>
      </c>
    </row>
    <row r="118" spans="1:4" ht="18.75" customHeight="1" x14ac:dyDescent="0.25">
      <c r="A118" s="180" t="s">
        <v>551</v>
      </c>
      <c r="B118" s="35">
        <v>34060</v>
      </c>
      <c r="C118" s="55">
        <v>0</v>
      </c>
      <c r="D118" s="55">
        <v>4.9375401175134545E-4</v>
      </c>
    </row>
    <row r="119" spans="1:4" ht="18.75" customHeight="1" x14ac:dyDescent="0.25">
      <c r="A119" s="180" t="s">
        <v>552</v>
      </c>
      <c r="B119" s="35">
        <v>34049</v>
      </c>
      <c r="C119" s="55">
        <v>1.9988712256608036E-2</v>
      </c>
      <c r="D119" s="55">
        <v>1.4812620352540365E-2</v>
      </c>
    </row>
    <row r="120" spans="1:4" ht="18.75" customHeight="1" x14ac:dyDescent="0.25">
      <c r="A120" s="180" t="s">
        <v>553</v>
      </c>
      <c r="B120" s="35">
        <v>34021</v>
      </c>
      <c r="C120" s="55">
        <v>3.7780345888708225E-2</v>
      </c>
      <c r="D120" s="55">
        <v>3.1600256752086109E-2</v>
      </c>
    </row>
    <row r="121" spans="1:4" ht="18.75" customHeight="1" x14ac:dyDescent="0.25">
      <c r="A121" s="180" t="s">
        <v>554</v>
      </c>
      <c r="B121" s="35">
        <v>34061</v>
      </c>
      <c r="C121" s="55">
        <v>7.3187962044002994E-3</v>
      </c>
      <c r="D121" s="55">
        <v>7.9000641880215272E-3</v>
      </c>
    </row>
    <row r="122" spans="1:4" ht="18.75" customHeight="1" x14ac:dyDescent="0.25">
      <c r="A122" s="180" t="s">
        <v>555</v>
      </c>
      <c r="B122" s="35">
        <v>34062</v>
      </c>
      <c r="C122" s="55">
        <v>4.6312382539319937E-3</v>
      </c>
      <c r="D122" s="55">
        <v>5.9250481410161463E-3</v>
      </c>
    </row>
    <row r="123" spans="1:4" ht="18.75" customHeight="1" x14ac:dyDescent="0.25">
      <c r="A123" s="180" t="s">
        <v>556</v>
      </c>
      <c r="B123" s="35">
        <v>34070</v>
      </c>
      <c r="C123" s="55">
        <v>3.7972314313741679E-2</v>
      </c>
      <c r="D123" s="55">
        <v>6.5669283562928948E-2</v>
      </c>
    </row>
    <row r="124" spans="1:4" ht="18.75" customHeight="1" x14ac:dyDescent="0.25">
      <c r="A124" s="180" t="s">
        <v>557</v>
      </c>
      <c r="B124" s="35">
        <v>34048</v>
      </c>
      <c r="C124" s="55">
        <v>1.9196842503345051E-3</v>
      </c>
      <c r="D124" s="55">
        <v>1.4812620352540366E-3</v>
      </c>
    </row>
    <row r="125" spans="1:4" ht="18.75" customHeight="1" x14ac:dyDescent="0.25">
      <c r="A125" s="180" t="s">
        <v>558</v>
      </c>
      <c r="B125" s="35">
        <v>34075</v>
      </c>
      <c r="C125" s="55">
        <v>9.910369942351881E-3</v>
      </c>
      <c r="D125" s="55">
        <v>1.9256406458302473E-2</v>
      </c>
    </row>
    <row r="126" spans="1:4" ht="18.75" customHeight="1" x14ac:dyDescent="0.25">
      <c r="A126" s="180" t="s">
        <v>559</v>
      </c>
      <c r="B126" s="35">
        <v>34058</v>
      </c>
      <c r="C126" s="55">
        <v>4.7992106258362628E-4</v>
      </c>
      <c r="D126" s="55">
        <v>2.9625240705080731E-3</v>
      </c>
    </row>
    <row r="127" spans="1:4" ht="18.75" customHeight="1" x14ac:dyDescent="0.25">
      <c r="A127" s="180" t="s">
        <v>560</v>
      </c>
      <c r="B127" s="35">
        <v>34054</v>
      </c>
      <c r="C127" s="55">
        <v>9.0465120297013556E-3</v>
      </c>
      <c r="D127" s="55">
        <v>1.2245099491433369E-2</v>
      </c>
    </row>
    <row r="128" spans="1:4" ht="18.75" customHeight="1" x14ac:dyDescent="0.25">
      <c r="A128" s="180" t="s">
        <v>561</v>
      </c>
      <c r="B128" s="35">
        <v>34057</v>
      </c>
      <c r="C128" s="55">
        <v>3.5034237568604722E-3</v>
      </c>
      <c r="D128" s="55">
        <v>5.4312941292648008E-3</v>
      </c>
    </row>
    <row r="129" spans="1:4" ht="18.75" customHeight="1" x14ac:dyDescent="0.25">
      <c r="A129" s="180" t="s">
        <v>562</v>
      </c>
      <c r="B129" s="35">
        <v>34059</v>
      </c>
      <c r="C129" s="55">
        <v>9.3104686141223508E-3</v>
      </c>
      <c r="D129" s="55">
        <v>7.9000641880215272E-3</v>
      </c>
    </row>
    <row r="130" spans="1:4" ht="18.75" customHeight="1" x14ac:dyDescent="0.25">
      <c r="A130" s="180" t="s">
        <v>563</v>
      </c>
      <c r="B130" s="35">
        <v>34023</v>
      </c>
      <c r="C130" s="55">
        <v>2.5915737379515824E-3</v>
      </c>
      <c r="D130" s="55">
        <v>1.3825112329037674E-2</v>
      </c>
    </row>
    <row r="131" spans="1:4" ht="18.75" customHeight="1" x14ac:dyDescent="0.25">
      <c r="A131" s="180" t="s">
        <v>564</v>
      </c>
      <c r="B131" s="35">
        <v>34025</v>
      </c>
      <c r="C131" s="55">
        <v>1.334180553982481E-2</v>
      </c>
      <c r="D131" s="55">
        <v>1.1850096282032293E-2</v>
      </c>
    </row>
    <row r="132" spans="1:4" ht="18.75" customHeight="1" x14ac:dyDescent="0.25">
      <c r="A132" s="180" t="s">
        <v>565</v>
      </c>
      <c r="B132" s="35">
        <v>34066</v>
      </c>
      <c r="C132" s="55">
        <v>1.5069521365125864E-2</v>
      </c>
      <c r="D132" s="55">
        <v>1.4812620352540365E-2</v>
      </c>
    </row>
    <row r="133" spans="1:4" ht="18.75" customHeight="1" x14ac:dyDescent="0.25">
      <c r="A133" s="180" t="s">
        <v>566</v>
      </c>
      <c r="B133" s="35">
        <v>34047</v>
      </c>
      <c r="C133" s="55">
        <v>1.4781568727575689E-2</v>
      </c>
      <c r="D133" s="55">
        <v>1.1356342270280947E-2</v>
      </c>
    </row>
    <row r="134" spans="1:4" ht="18.75" customHeight="1" x14ac:dyDescent="0.25">
      <c r="A134" s="180" t="s">
        <v>567</v>
      </c>
      <c r="B134" s="35">
        <v>34006</v>
      </c>
      <c r="C134" s="55">
        <v>3.1931067977938987E-2</v>
      </c>
      <c r="D134" s="55">
        <v>3.0118994716832076E-2</v>
      </c>
    </row>
    <row r="135" spans="1:4" ht="18.75" customHeight="1" x14ac:dyDescent="0.25">
      <c r="A135" s="180" t="s">
        <v>568</v>
      </c>
      <c r="B135" s="35">
        <v>34084</v>
      </c>
      <c r="C135" s="55">
        <v>3.2721018046951642E-2</v>
      </c>
      <c r="D135" s="55">
        <v>2.0243914481805163E-2</v>
      </c>
    </row>
    <row r="136" spans="1:4" ht="18.75" customHeight="1" x14ac:dyDescent="0.25">
      <c r="A136" s="180" t="s">
        <v>569</v>
      </c>
      <c r="B136" s="35">
        <v>34065</v>
      </c>
      <c r="C136" s="55">
        <v>1.5645426640226216E-2</v>
      </c>
      <c r="D136" s="55">
        <v>1.1850096282032293E-2</v>
      </c>
    </row>
    <row r="137" spans="1:4" ht="18.75" customHeight="1" x14ac:dyDescent="0.25">
      <c r="A137" s="180" t="s">
        <v>570</v>
      </c>
      <c r="B137" s="35">
        <v>34046</v>
      </c>
      <c r="C137" s="55">
        <v>1.0150330473643695E-2</v>
      </c>
      <c r="D137" s="55">
        <v>9.3813262232755636E-3</v>
      </c>
    </row>
    <row r="138" spans="1:4" ht="18.75" customHeight="1" x14ac:dyDescent="0.25">
      <c r="A138" s="180" t="s">
        <v>571</v>
      </c>
      <c r="B138" s="35">
        <v>34041</v>
      </c>
      <c r="C138" s="55">
        <v>7.6787370013380206E-3</v>
      </c>
      <c r="D138" s="55">
        <v>4.4437861057621091E-3</v>
      </c>
    </row>
    <row r="139" spans="1:4" ht="18.75" customHeight="1" x14ac:dyDescent="0.25">
      <c r="A139" s="180" t="s">
        <v>572</v>
      </c>
      <c r="B139" s="35">
        <v>34064</v>
      </c>
      <c r="C139" s="55">
        <v>9.9343659954810627E-3</v>
      </c>
      <c r="D139" s="55">
        <v>4.9375401175134545E-3</v>
      </c>
    </row>
    <row r="140" spans="1:4" ht="18.75" customHeight="1" x14ac:dyDescent="0.25">
      <c r="A140" s="180" t="s">
        <v>573</v>
      </c>
      <c r="B140" s="35">
        <v>34071</v>
      </c>
      <c r="C140" s="55">
        <v>5.1759486599644099E-2</v>
      </c>
      <c r="D140" s="55">
        <v>4.0734705969486001E-2</v>
      </c>
    </row>
    <row r="141" spans="1:4" ht="18.75" customHeight="1" x14ac:dyDescent="0.25">
      <c r="A141" s="180" t="s">
        <v>574</v>
      </c>
      <c r="B141" s="35">
        <v>34056</v>
      </c>
      <c r="C141" s="55">
        <v>6.8215979835636625E-2</v>
      </c>
      <c r="D141" s="55">
        <v>4.8881647163383203E-2</v>
      </c>
    </row>
    <row r="142" spans="1:4" ht="18.75" customHeight="1" x14ac:dyDescent="0.25"/>
    <row r="143" spans="1:4" ht="18.75" customHeight="1" x14ac:dyDescent="0.25"/>
    <row r="144" spans="1:4" ht="18.75" customHeight="1" x14ac:dyDescent="0.25"/>
    <row r="145" spans="1:4" ht="18.75" customHeight="1" x14ac:dyDescent="0.25">
      <c r="A145" s="3" t="s">
        <v>862</v>
      </c>
      <c r="B145" s="3" t="s">
        <v>865</v>
      </c>
    </row>
    <row r="146" spans="1:4" ht="18.75" customHeight="1" x14ac:dyDescent="0.25">
      <c r="A146" s="4" t="s">
        <v>1</v>
      </c>
      <c r="B146" s="2" t="s">
        <v>863</v>
      </c>
    </row>
    <row r="147" spans="1:4" ht="18.75" customHeight="1" x14ac:dyDescent="0.25">
      <c r="A147" s="4"/>
    </row>
    <row r="148" spans="1:4" ht="18.75" customHeight="1" x14ac:dyDescent="0.25">
      <c r="A148" s="117" t="s">
        <v>523</v>
      </c>
      <c r="B148" s="71" t="s">
        <v>3</v>
      </c>
      <c r="C148" s="71" t="s">
        <v>2</v>
      </c>
      <c r="D148" s="71" t="s">
        <v>4</v>
      </c>
    </row>
    <row r="149" spans="1:4" ht="54" x14ac:dyDescent="0.25">
      <c r="A149" s="73" t="s">
        <v>864</v>
      </c>
      <c r="B149" s="119">
        <v>205</v>
      </c>
      <c r="C149" s="119">
        <v>108</v>
      </c>
      <c r="D149" s="119">
        <v>313</v>
      </c>
    </row>
    <row r="150" spans="1:4" ht="18.75" customHeight="1" x14ac:dyDescent="0.25"/>
    <row r="151" spans="1:4" ht="18.75" customHeight="1" x14ac:dyDescent="0.25">
      <c r="B151" s="15"/>
    </row>
    <row r="152" spans="1:4" ht="18.75" customHeight="1" x14ac:dyDescent="0.25"/>
    <row r="153" spans="1:4" ht="18.75" customHeight="1" x14ac:dyDescent="0.25"/>
    <row r="154" spans="1:4" ht="18.75" customHeight="1" x14ac:dyDescent="0.25"/>
    <row r="155" spans="1:4" ht="18.75" customHeight="1" x14ac:dyDescent="0.25"/>
  </sheetData>
  <mergeCells count="1">
    <mergeCell ref="A1:H1"/>
  </mergeCells>
  <hyperlinks>
    <hyperlink ref="A4" location="'1. Workforce size'!A4" display="Table 1.1"/>
    <hyperlink ref="A14" location="'1. Workforce size'!A4" display="Table 1.1"/>
    <hyperlink ref="A30" location="'1. Workforce size'!A4" display="Table 1.1"/>
  </hyperlink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>
    <oddHeader>&amp;C2013 Victorian AOD Workforce Survey aggregate  report</oddHeader>
    <oddFooter>&amp;A</oddFooter>
  </headerFooter>
  <rowBreaks count="3" manualBreakCount="3">
    <brk id="39" max="16383" man="1"/>
    <brk id="81" max="7" man="1"/>
    <brk id="122" max="7" man="1"/>
  </rowBreaks>
  <legacyDrawing r:id="rId2"/>
  <tableParts count="1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zoomScale="75" zoomScaleNormal="75" zoomScaleSheetLayoutView="75" workbookViewId="0">
      <selection sqref="A1:H1"/>
    </sheetView>
  </sheetViews>
  <sheetFormatPr defaultRowHeight="18.75" customHeight="1" x14ac:dyDescent="0.25"/>
  <cols>
    <col min="1" max="1" width="54.8984375" style="2" bestFit="1" customWidth="1"/>
    <col min="2" max="3" width="20.69921875" style="2" customWidth="1"/>
    <col min="4" max="4" width="21.296875" style="2" customWidth="1"/>
    <col min="5" max="5" width="20.69921875" style="2" customWidth="1"/>
    <col min="6" max="6" width="11" style="2" customWidth="1"/>
    <col min="7" max="7" width="13.59765625" style="2" customWidth="1"/>
    <col min="8" max="8" width="10.796875" style="2" customWidth="1"/>
    <col min="9" max="9" width="8" style="2" customWidth="1"/>
    <col min="10" max="10" width="9.59765625" style="2" customWidth="1"/>
    <col min="11" max="16384" width="8.796875" style="2"/>
  </cols>
  <sheetData>
    <row r="1" spans="1:8" s="33" customFormat="1" ht="55.5" customHeight="1" x14ac:dyDescent="0.2">
      <c r="A1" s="244" t="s">
        <v>922</v>
      </c>
      <c r="B1" s="244"/>
      <c r="C1" s="244"/>
      <c r="D1" s="244"/>
      <c r="E1" s="244"/>
      <c r="F1" s="244"/>
      <c r="G1" s="244"/>
      <c r="H1" s="244"/>
    </row>
    <row r="4" spans="1:8" ht="18.75" customHeight="1" x14ac:dyDescent="0.25">
      <c r="A4" s="3" t="s">
        <v>19</v>
      </c>
      <c r="B4" s="3" t="s">
        <v>616</v>
      </c>
    </row>
    <row r="5" spans="1:8" ht="18.75" customHeight="1" x14ac:dyDescent="0.25">
      <c r="A5" s="4" t="s">
        <v>1</v>
      </c>
      <c r="B5" s="2" t="s">
        <v>734</v>
      </c>
    </row>
    <row r="7" spans="1:8" ht="18.75" customHeight="1" x14ac:dyDescent="0.25">
      <c r="A7" s="33" t="s">
        <v>584</v>
      </c>
      <c r="B7" s="37" t="s">
        <v>297</v>
      </c>
      <c r="C7" s="15" t="s">
        <v>298</v>
      </c>
      <c r="D7" s="15" t="s">
        <v>317</v>
      </c>
    </row>
    <row r="8" spans="1:8" ht="18.75" customHeight="1" x14ac:dyDescent="0.25">
      <c r="A8" s="57" t="s">
        <v>3</v>
      </c>
      <c r="B8" s="58">
        <v>0.67678571428571432</v>
      </c>
      <c r="C8" s="58">
        <v>0.70980392156862748</v>
      </c>
      <c r="D8" s="58">
        <v>0.68711656441717794</v>
      </c>
    </row>
    <row r="9" spans="1:8" ht="18.75" customHeight="1" x14ac:dyDescent="0.25">
      <c r="A9" s="33" t="s">
        <v>576</v>
      </c>
      <c r="B9" s="56">
        <v>6.4285714285714279E-2</v>
      </c>
      <c r="C9" s="56">
        <v>6.6666666666666666E-2</v>
      </c>
      <c r="D9" s="56">
        <v>6.5030674846625766E-2</v>
      </c>
    </row>
    <row r="10" spans="1:8" ht="18.75" customHeight="1" x14ac:dyDescent="0.25">
      <c r="A10" s="33" t="s">
        <v>577</v>
      </c>
      <c r="B10" s="56">
        <v>0.41428571428571431</v>
      </c>
      <c r="C10" s="56">
        <v>0.42352941176470588</v>
      </c>
      <c r="D10" s="56">
        <v>0.41717791411042943</v>
      </c>
    </row>
    <row r="11" spans="1:8" ht="18.75" customHeight="1" x14ac:dyDescent="0.25">
      <c r="A11" s="33" t="s">
        <v>578</v>
      </c>
      <c r="B11" s="56">
        <v>0.1982142857142857</v>
      </c>
      <c r="C11" s="56">
        <v>0.2196078431372549</v>
      </c>
      <c r="D11" s="56">
        <v>0.20490797546012271</v>
      </c>
    </row>
    <row r="12" spans="1:8" ht="18.75" customHeight="1" x14ac:dyDescent="0.25">
      <c r="A12" s="57" t="s">
        <v>2</v>
      </c>
      <c r="B12" s="58">
        <v>0.27321428571428569</v>
      </c>
      <c r="C12" s="58">
        <v>0.27058823529411763</v>
      </c>
      <c r="D12" s="58">
        <v>0.2723926380368098</v>
      </c>
    </row>
    <row r="13" spans="1:8" ht="18.75" customHeight="1" x14ac:dyDescent="0.25">
      <c r="A13" s="33" t="s">
        <v>579</v>
      </c>
      <c r="B13" s="56">
        <v>6.0714285714285714E-2</v>
      </c>
      <c r="C13" s="56">
        <v>4.3137254901960784E-2</v>
      </c>
      <c r="D13" s="56">
        <v>5.5214723926380369E-2</v>
      </c>
    </row>
    <row r="14" spans="1:8" ht="18.75" customHeight="1" x14ac:dyDescent="0.25">
      <c r="A14" s="33" t="s">
        <v>580</v>
      </c>
      <c r="B14" s="56">
        <v>7.4999999999999997E-2</v>
      </c>
      <c r="C14" s="56">
        <v>6.6666666666666666E-2</v>
      </c>
      <c r="D14" s="56">
        <v>7.2392638036809814E-2</v>
      </c>
    </row>
    <row r="15" spans="1:8" ht="18.75" customHeight="1" x14ac:dyDescent="0.25">
      <c r="A15" s="33" t="s">
        <v>581</v>
      </c>
      <c r="B15" s="56">
        <v>3.5714285714285712E-2</v>
      </c>
      <c r="C15" s="56">
        <v>2.7450980392156862E-2</v>
      </c>
      <c r="D15" s="56">
        <v>3.3128834355828224E-2</v>
      </c>
    </row>
    <row r="16" spans="1:8" ht="18.75" customHeight="1" x14ac:dyDescent="0.25">
      <c r="A16" s="33" t="s">
        <v>582</v>
      </c>
      <c r="B16" s="56">
        <v>3.5714285714285712E-2</v>
      </c>
      <c r="C16" s="56">
        <v>4.7058823529411764E-2</v>
      </c>
      <c r="D16" s="56">
        <v>3.9263803680981597E-2</v>
      </c>
    </row>
    <row r="17" spans="1:8" ht="18.75" customHeight="1" x14ac:dyDescent="0.25">
      <c r="A17" s="33" t="s">
        <v>583</v>
      </c>
      <c r="B17" s="56">
        <v>6.6071428571428573E-2</v>
      </c>
      <c r="C17" s="56">
        <v>8.6274509803921567E-2</v>
      </c>
      <c r="D17" s="56">
        <v>7.2392638036809814E-2</v>
      </c>
    </row>
    <row r="18" spans="1:8" ht="18.75" customHeight="1" thickBot="1" x14ac:dyDescent="0.3">
      <c r="A18" s="61" t="s">
        <v>140</v>
      </c>
      <c r="B18" s="62">
        <v>0.05</v>
      </c>
      <c r="C18" s="62">
        <v>1.9607843137254902E-2</v>
      </c>
      <c r="D18" s="62">
        <v>4.0490797546012272E-2</v>
      </c>
    </row>
    <row r="19" spans="1:8" ht="18.75" customHeight="1" thickTop="1" x14ac:dyDescent="0.25">
      <c r="A19" s="59" t="s">
        <v>4</v>
      </c>
      <c r="B19" s="60">
        <v>1</v>
      </c>
      <c r="C19" s="60">
        <v>1</v>
      </c>
      <c r="D19" s="60">
        <v>1</v>
      </c>
    </row>
    <row r="23" spans="1:8" s="3" customFormat="1" ht="18.75" customHeight="1" x14ac:dyDescent="0.25">
      <c r="A23" s="3" t="s">
        <v>24</v>
      </c>
      <c r="B23" s="3" t="s">
        <v>925</v>
      </c>
    </row>
    <row r="24" spans="1:8" ht="18.75" customHeight="1" x14ac:dyDescent="0.25">
      <c r="A24" s="4" t="s">
        <v>1</v>
      </c>
      <c r="B24" s="2" t="s">
        <v>735</v>
      </c>
    </row>
    <row r="26" spans="1:8" ht="18.75" customHeight="1" x14ac:dyDescent="0.25">
      <c r="A26" s="21" t="s">
        <v>6</v>
      </c>
      <c r="B26" s="63" t="s">
        <v>8</v>
      </c>
      <c r="C26" s="64" t="s">
        <v>10</v>
      </c>
      <c r="D26" s="65" t="s">
        <v>131</v>
      </c>
      <c r="E26" s="63" t="s">
        <v>132</v>
      </c>
      <c r="F26" s="64" t="s">
        <v>16</v>
      </c>
      <c r="G26" s="64" t="s">
        <v>590</v>
      </c>
      <c r="H26" s="65" t="s">
        <v>619</v>
      </c>
    </row>
    <row r="27" spans="1:8" ht="18.75" customHeight="1" x14ac:dyDescent="0.25">
      <c r="A27" s="45" t="s">
        <v>11</v>
      </c>
      <c r="B27" s="66">
        <v>5.4901960784313725E-2</v>
      </c>
      <c r="C27" s="54">
        <v>7.857142857142857E-2</v>
      </c>
      <c r="D27" s="95">
        <f>AVERAGE(B27:C27)</f>
        <v>6.6736694677871147E-2</v>
      </c>
      <c r="E27" s="66">
        <v>4.5045045045045043E-2</v>
      </c>
      <c r="F27" s="54">
        <v>8.5714285714285715E-2</v>
      </c>
      <c r="G27" s="54">
        <v>0</v>
      </c>
      <c r="H27" s="95">
        <f>AVERAGE(E27:G27)</f>
        <v>4.3586443586443591E-2</v>
      </c>
    </row>
    <row r="28" spans="1:8" ht="18.75" customHeight="1" x14ac:dyDescent="0.25">
      <c r="A28" s="45" t="s">
        <v>12</v>
      </c>
      <c r="B28" s="66">
        <v>0.24313725490196078</v>
      </c>
      <c r="C28" s="54">
        <v>0.25892857142857145</v>
      </c>
      <c r="D28" s="95">
        <f t="shared" ref="D28:D32" si="0">AVERAGE(B28:C28)</f>
        <v>0.2510329131652661</v>
      </c>
      <c r="E28" s="66">
        <v>0.18468468468468469</v>
      </c>
      <c r="F28" s="54">
        <v>0.27321428571428569</v>
      </c>
      <c r="G28" s="54">
        <v>0.39393939393939392</v>
      </c>
      <c r="H28" s="95">
        <f t="shared" ref="H28:H32" si="1">AVERAGE(E28:G28)</f>
        <v>0.28394612144612141</v>
      </c>
    </row>
    <row r="29" spans="1:8" ht="18.75" customHeight="1" x14ac:dyDescent="0.25">
      <c r="A29" s="45" t="s">
        <v>13</v>
      </c>
      <c r="B29" s="66">
        <v>0.29019607843137257</v>
      </c>
      <c r="C29" s="54">
        <v>0.26607142857142857</v>
      </c>
      <c r="D29" s="95">
        <f t="shared" si="0"/>
        <v>0.27813375350140057</v>
      </c>
      <c r="E29" s="66">
        <v>0.27927927927927926</v>
      </c>
      <c r="F29" s="54">
        <v>0.27857142857142858</v>
      </c>
      <c r="G29" s="54">
        <v>0.15151515151515152</v>
      </c>
      <c r="H29" s="95">
        <f t="shared" si="1"/>
        <v>0.23645528645528643</v>
      </c>
    </row>
    <row r="30" spans="1:8" ht="18.75" customHeight="1" x14ac:dyDescent="0.25">
      <c r="A30" s="45" t="s">
        <v>14</v>
      </c>
      <c r="B30" s="66">
        <v>0.27843137254901962</v>
      </c>
      <c r="C30" s="54">
        <v>0.31428571428571428</v>
      </c>
      <c r="D30" s="95">
        <f t="shared" si="0"/>
        <v>0.29635854341736695</v>
      </c>
      <c r="E30" s="66">
        <v>0.36036036036036034</v>
      </c>
      <c r="F30" s="54">
        <v>0.2767857142857143</v>
      </c>
      <c r="G30" s="54">
        <v>0.36363636363636365</v>
      </c>
      <c r="H30" s="95">
        <f t="shared" si="1"/>
        <v>0.33359414609414612</v>
      </c>
    </row>
    <row r="31" spans="1:8" ht="18.75" customHeight="1" x14ac:dyDescent="0.25">
      <c r="A31" s="45" t="s">
        <v>15</v>
      </c>
      <c r="B31" s="66">
        <v>0.12549019607843137</v>
      </c>
      <c r="C31" s="54">
        <v>7.857142857142857E-2</v>
      </c>
      <c r="D31" s="95">
        <f t="shared" si="0"/>
        <v>0.10203081232492997</v>
      </c>
      <c r="E31" s="66">
        <v>0.13063063063063063</v>
      </c>
      <c r="F31" s="54">
        <v>7.857142857142857E-2</v>
      </c>
      <c r="G31" s="54">
        <v>9.0909090909090912E-2</v>
      </c>
      <c r="H31" s="95">
        <f t="shared" si="1"/>
        <v>0.10003705003705003</v>
      </c>
    </row>
    <row r="32" spans="1:8" ht="18.75" customHeight="1" x14ac:dyDescent="0.25">
      <c r="A32" s="45" t="s">
        <v>141</v>
      </c>
      <c r="B32" s="66">
        <v>7.8431372549019607E-3</v>
      </c>
      <c r="C32" s="54">
        <v>3.5714285714285713E-3</v>
      </c>
      <c r="D32" s="95">
        <f t="shared" si="0"/>
        <v>5.7072829131652658E-3</v>
      </c>
      <c r="E32" s="66">
        <v>0</v>
      </c>
      <c r="F32" s="54">
        <v>7.1428571428571426E-3</v>
      </c>
      <c r="G32" s="54">
        <v>0</v>
      </c>
      <c r="H32" s="95">
        <f t="shared" si="1"/>
        <v>2.3809523809523807E-3</v>
      </c>
    </row>
    <row r="33" spans="1:10" ht="18.75" customHeight="1" x14ac:dyDescent="0.25">
      <c r="A33" s="2" t="s">
        <v>4</v>
      </c>
      <c r="B33" s="67">
        <f>SUBTOTAL(109,Table11[Male %])</f>
        <v>1</v>
      </c>
      <c r="C33" s="68">
        <f>SUBTOTAL(109,Table11[Female %])</f>
        <v>1</v>
      </c>
      <c r="D33" s="96">
        <f>SUBTOTAL(109,Table11[% All])</f>
        <v>0.99999999999999989</v>
      </c>
      <c r="E33" s="67">
        <f>SUBTOTAL(109,Table11[% Rural])</f>
        <v>0.99999999999999989</v>
      </c>
      <c r="F33" s="68">
        <f>SUBTOTAL(109,Table11[% Metro])</f>
        <v>1</v>
      </c>
      <c r="G33" s="68">
        <f>SUBTOTAL(109,Table11[% Unknown location])</f>
        <v>1</v>
      </c>
      <c r="H33" s="96">
        <f>SUBTOTAL(109,Table11[% total])</f>
        <v>1</v>
      </c>
    </row>
    <row r="34" spans="1:10" ht="18.75" customHeight="1" x14ac:dyDescent="0.25">
      <c r="A34" s="92" t="s">
        <v>20</v>
      </c>
      <c r="B34" s="93" t="s">
        <v>585</v>
      </c>
      <c r="C34" s="94" t="s">
        <v>586</v>
      </c>
      <c r="D34" s="97" t="s">
        <v>587</v>
      </c>
      <c r="E34" s="93" t="s">
        <v>588</v>
      </c>
      <c r="F34" s="94" t="s">
        <v>589</v>
      </c>
      <c r="G34" s="94">
        <v>0.27</v>
      </c>
      <c r="H34" s="97">
        <v>0.24</v>
      </c>
    </row>
    <row r="35" spans="1:10" ht="18.75" customHeight="1" x14ac:dyDescent="0.25">
      <c r="A35"/>
      <c r="B35"/>
      <c r="C35"/>
      <c r="D35"/>
      <c r="E35"/>
      <c r="F35"/>
      <c r="G35"/>
      <c r="H35"/>
    </row>
    <row r="38" spans="1:10" ht="18.75" customHeight="1" x14ac:dyDescent="0.25">
      <c r="A38" s="3" t="s">
        <v>25</v>
      </c>
      <c r="B38" s="3" t="s">
        <v>617</v>
      </c>
      <c r="C38" s="3"/>
    </row>
    <row r="39" spans="1:10" ht="18.75" customHeight="1" x14ac:dyDescent="0.25">
      <c r="A39" s="4" t="s">
        <v>1</v>
      </c>
      <c r="B39" s="2" t="s">
        <v>736</v>
      </c>
    </row>
    <row r="41" spans="1:10" ht="18.75" customHeight="1" x14ac:dyDescent="0.25">
      <c r="A41" s="21" t="s">
        <v>17</v>
      </c>
      <c r="B41" s="48" t="s">
        <v>18</v>
      </c>
      <c r="C41" s="48" t="s">
        <v>619</v>
      </c>
    </row>
    <row r="42" spans="1:10" ht="18.75" customHeight="1" x14ac:dyDescent="0.25">
      <c r="A42" s="45" t="s">
        <v>7</v>
      </c>
      <c r="B42" s="48">
        <v>255</v>
      </c>
      <c r="C42" s="54">
        <f>Table14[[#This Row],[Frequency]]/Table14[[#Totals],[Frequency]]</f>
        <v>0.31288343558282211</v>
      </c>
    </row>
    <row r="43" spans="1:10" ht="18.75" customHeight="1" x14ac:dyDescent="0.25">
      <c r="A43" s="45" t="s">
        <v>9</v>
      </c>
      <c r="B43" s="48">
        <v>560</v>
      </c>
      <c r="C43" s="54">
        <f>Table14[[#This Row],[Frequency]]/Table14[[#Totals],[Frequency]]</f>
        <v>0.68711656441717794</v>
      </c>
    </row>
    <row r="44" spans="1:10" ht="18.75" customHeight="1" x14ac:dyDescent="0.25">
      <c r="A44" s="47" t="s">
        <v>4</v>
      </c>
      <c r="B44" s="48">
        <f>SUBTOTAL(109,Table14[Frequency])</f>
        <v>815</v>
      </c>
      <c r="C44" s="69">
        <f>SUBTOTAL(109,Table14[% total])</f>
        <v>1</v>
      </c>
      <c r="I44" s="29"/>
      <c r="J44" s="29"/>
    </row>
    <row r="45" spans="1:10" ht="18.75" customHeight="1" x14ac:dyDescent="0.25">
      <c r="A45" s="47"/>
      <c r="B45" s="48"/>
      <c r="C45" s="69"/>
      <c r="I45" s="29"/>
      <c r="J45" s="29"/>
    </row>
    <row r="46" spans="1:10" ht="18.75" customHeight="1" x14ac:dyDescent="0.25">
      <c r="A46" s="47"/>
      <c r="B46" s="48"/>
      <c r="C46" s="69"/>
      <c r="I46" s="29"/>
      <c r="J46" s="29"/>
    </row>
    <row r="47" spans="1:10" ht="18.75" customHeight="1" x14ac:dyDescent="0.25">
      <c r="H47" s="29"/>
      <c r="I47" s="29"/>
      <c r="J47" s="29"/>
    </row>
    <row r="48" spans="1:10" ht="18.75" customHeight="1" x14ac:dyDescent="0.25">
      <c r="A48" s="3" t="s">
        <v>23</v>
      </c>
      <c r="B48" s="3" t="s">
        <v>926</v>
      </c>
      <c r="C48" s="3"/>
      <c r="H48" s="29"/>
      <c r="I48" s="29"/>
      <c r="J48" s="29"/>
    </row>
    <row r="49" spans="1:8" ht="18.75" customHeight="1" x14ac:dyDescent="0.25">
      <c r="A49" s="4" t="s">
        <v>1</v>
      </c>
      <c r="B49" s="2" t="s">
        <v>927</v>
      </c>
      <c r="H49" s="29"/>
    </row>
    <row r="51" spans="1:8" ht="18.75" customHeight="1" x14ac:dyDescent="0.25">
      <c r="A51" s="21" t="s">
        <v>17</v>
      </c>
      <c r="B51" s="48" t="s">
        <v>188</v>
      </c>
      <c r="C51" s="48" t="s">
        <v>187</v>
      </c>
      <c r="D51" s="48" t="s">
        <v>618</v>
      </c>
      <c r="E51" s="48" t="s">
        <v>317</v>
      </c>
    </row>
    <row r="52" spans="1:8" ht="18.75" customHeight="1" x14ac:dyDescent="0.25">
      <c r="A52" s="45" t="s">
        <v>298</v>
      </c>
      <c r="B52" s="70">
        <v>48</v>
      </c>
      <c r="C52" s="70">
        <v>46</v>
      </c>
      <c r="D52" s="70">
        <v>49</v>
      </c>
      <c r="E52" s="70">
        <v>46</v>
      </c>
    </row>
    <row r="53" spans="1:8" ht="18.75" customHeight="1" x14ac:dyDescent="0.25">
      <c r="A53" s="45" t="s">
        <v>297</v>
      </c>
      <c r="B53" s="70">
        <v>48</v>
      </c>
      <c r="C53" s="70">
        <v>44</v>
      </c>
      <c r="D53" s="70">
        <v>45</v>
      </c>
      <c r="E53" s="70">
        <v>45</v>
      </c>
    </row>
    <row r="54" spans="1:8" ht="18.75" customHeight="1" x14ac:dyDescent="0.25">
      <c r="A54" s="47" t="s">
        <v>4</v>
      </c>
      <c r="B54" s="70">
        <f>SUBTOTAL(101,Table15[Rural (n=222)])</f>
        <v>48</v>
      </c>
      <c r="C54" s="70" t="s">
        <v>593</v>
      </c>
      <c r="D54" s="70" t="s">
        <v>591</v>
      </c>
      <c r="E54" s="70" t="s">
        <v>592</v>
      </c>
    </row>
    <row r="55" spans="1:8" ht="18.75" customHeight="1" x14ac:dyDescent="0.25">
      <c r="A55" s="47"/>
      <c r="B55" s="70"/>
      <c r="C55" s="70"/>
      <c r="D55" s="70"/>
      <c r="E55" s="70"/>
    </row>
    <row r="56" spans="1:8" ht="18.75" customHeight="1" x14ac:dyDescent="0.25">
      <c r="F56" s="3"/>
      <c r="G56" s="3"/>
      <c r="H56" s="3"/>
    </row>
    <row r="58" spans="1:8" ht="18.75" customHeight="1" x14ac:dyDescent="0.25">
      <c r="A58" s="3" t="s">
        <v>727</v>
      </c>
      <c r="B58" s="3" t="s">
        <v>928</v>
      </c>
    </row>
    <row r="59" spans="1:8" ht="18.75" customHeight="1" x14ac:dyDescent="0.25">
      <c r="A59" s="4" t="s">
        <v>1</v>
      </c>
      <c r="B59" s="2" t="s">
        <v>730</v>
      </c>
    </row>
    <row r="60" spans="1:8" ht="18.75" customHeight="1" x14ac:dyDescent="0.25">
      <c r="A60" s="155"/>
      <c r="B60" s="155"/>
      <c r="C60" s="155"/>
      <c r="D60" s="155"/>
    </row>
    <row r="61" spans="1:8" ht="18.75" customHeight="1" x14ac:dyDescent="0.25">
      <c r="A61" s="140"/>
      <c r="B61" s="245" t="s">
        <v>731</v>
      </c>
      <c r="C61" s="245"/>
      <c r="D61" s="161"/>
    </row>
    <row r="62" spans="1:8" ht="18.75" customHeight="1" x14ac:dyDescent="0.25">
      <c r="A62" s="117" t="s">
        <v>447</v>
      </c>
      <c r="B62" s="75" t="s">
        <v>22</v>
      </c>
      <c r="C62" s="75" t="s">
        <v>21</v>
      </c>
      <c r="D62" s="75" t="s">
        <v>732</v>
      </c>
    </row>
    <row r="63" spans="1:8" ht="18.75" customHeight="1" x14ac:dyDescent="0.25">
      <c r="A63" s="117" t="s">
        <v>728</v>
      </c>
      <c r="B63" s="77">
        <v>0.10725345662319535</v>
      </c>
      <c r="C63" s="77">
        <v>0.83564701891547</v>
      </c>
      <c r="D63" s="77">
        <v>0.78541607762691679</v>
      </c>
    </row>
    <row r="64" spans="1:8" ht="18.75" customHeight="1" x14ac:dyDescent="0.25">
      <c r="A64" s="117" t="s">
        <v>729</v>
      </c>
      <c r="B64" s="77">
        <v>0.89274654337680459</v>
      </c>
      <c r="C64" s="77">
        <v>0.16435298108453003</v>
      </c>
      <c r="D64" s="77">
        <v>0.21458392237308324</v>
      </c>
    </row>
    <row r="65" spans="1:4" ht="18.75" customHeight="1" x14ac:dyDescent="0.25">
      <c r="A65" s="117" t="s">
        <v>4</v>
      </c>
      <c r="B65" s="77">
        <v>1</v>
      </c>
      <c r="C65" s="77">
        <v>1</v>
      </c>
      <c r="D65" s="77">
        <v>1</v>
      </c>
    </row>
    <row r="66" spans="1:4" ht="18.75" customHeight="1" x14ac:dyDescent="0.25">
      <c r="A66" s="155"/>
      <c r="B66" s="155"/>
      <c r="C66" s="155"/>
      <c r="D66" s="155"/>
    </row>
    <row r="67" spans="1:4" ht="18.75" customHeight="1" x14ac:dyDescent="0.25">
      <c r="A67" s="155"/>
      <c r="B67" s="155"/>
      <c r="C67" s="155"/>
      <c r="D67" s="155"/>
    </row>
    <row r="69" spans="1:4" ht="18.75" customHeight="1" x14ac:dyDescent="0.25">
      <c r="A69" s="3" t="s">
        <v>749</v>
      </c>
      <c r="B69" s="3" t="s">
        <v>752</v>
      </c>
    </row>
    <row r="70" spans="1:4" ht="18.75" customHeight="1" x14ac:dyDescent="0.25">
      <c r="A70" s="4" t="s">
        <v>751</v>
      </c>
      <c r="B70" s="2" t="s">
        <v>929</v>
      </c>
    </row>
    <row r="71" spans="1:4" ht="18.75" customHeight="1" x14ac:dyDescent="0.25">
      <c r="A71" s="155"/>
      <c r="B71" s="155"/>
      <c r="C71" s="155"/>
      <c r="D71" s="155"/>
    </row>
    <row r="72" spans="1:4" ht="18.75" customHeight="1" x14ac:dyDescent="0.25">
      <c r="A72" s="117" t="s">
        <v>753</v>
      </c>
      <c r="B72" s="71" t="s">
        <v>18</v>
      </c>
      <c r="C72" s="156"/>
      <c r="D72" s="156"/>
    </row>
    <row r="73" spans="1:4" ht="18.75" customHeight="1" x14ac:dyDescent="0.25">
      <c r="A73" s="82" t="s">
        <v>731</v>
      </c>
      <c r="B73" s="119">
        <v>756</v>
      </c>
      <c r="C73" s="75"/>
      <c r="D73" s="75"/>
    </row>
    <row r="74" spans="1:4" ht="18.75" customHeight="1" x14ac:dyDescent="0.25">
      <c r="A74" s="82" t="s">
        <v>754</v>
      </c>
      <c r="B74" s="119">
        <v>59</v>
      </c>
      <c r="C74" s="77"/>
      <c r="D74" s="77"/>
    </row>
    <row r="75" spans="1:4" ht="18.75" customHeight="1" x14ac:dyDescent="0.25">
      <c r="A75" s="165" t="s">
        <v>755</v>
      </c>
      <c r="B75" s="166">
        <v>47</v>
      </c>
      <c r="C75" s="77"/>
      <c r="D75" s="77"/>
    </row>
    <row r="76" spans="1:4" ht="18.75" customHeight="1" x14ac:dyDescent="0.25">
      <c r="A76" s="1"/>
      <c r="B76" s="98"/>
      <c r="C76" s="77"/>
      <c r="D76" s="77"/>
    </row>
    <row r="79" spans="1:4" ht="18.75" customHeight="1" x14ac:dyDescent="0.25">
      <c r="A79" s="3" t="s">
        <v>750</v>
      </c>
      <c r="B79" s="3" t="s">
        <v>890</v>
      </c>
    </row>
    <row r="80" spans="1:4" ht="18.75" customHeight="1" x14ac:dyDescent="0.25">
      <c r="A80" s="4" t="s">
        <v>1</v>
      </c>
      <c r="B80" s="2" t="s">
        <v>733</v>
      </c>
    </row>
    <row r="81" spans="1:2" ht="18.75" customHeight="1" x14ac:dyDescent="0.25">
      <c r="A81" s="155"/>
      <c r="B81" s="155"/>
    </row>
    <row r="82" spans="1:2" ht="18.75" customHeight="1" x14ac:dyDescent="0.25">
      <c r="A82" s="117" t="s">
        <v>748</v>
      </c>
      <c r="B82" s="71" t="s">
        <v>18</v>
      </c>
    </row>
    <row r="83" spans="1:2" ht="18.75" customHeight="1" x14ac:dyDescent="0.25">
      <c r="A83" s="82" t="s">
        <v>22</v>
      </c>
      <c r="B83" s="119">
        <v>794</v>
      </c>
    </row>
    <row r="84" spans="1:2" ht="18.75" customHeight="1" x14ac:dyDescent="0.25">
      <c r="A84" s="82" t="s">
        <v>747</v>
      </c>
      <c r="B84" s="119">
        <v>5</v>
      </c>
    </row>
    <row r="85" spans="1:2" ht="18.75" customHeight="1" x14ac:dyDescent="0.25">
      <c r="A85" s="82" t="s">
        <v>21</v>
      </c>
      <c r="B85" s="119">
        <v>16</v>
      </c>
    </row>
    <row r="86" spans="1:2" ht="18.75" customHeight="1" x14ac:dyDescent="0.25">
      <c r="A86" s="1" t="s">
        <v>4</v>
      </c>
      <c r="B86" s="98">
        <f>SUBTOTAL(109,Table25[Frequency])</f>
        <v>815</v>
      </c>
    </row>
  </sheetData>
  <sortState ref="A100:F117">
    <sortCondition ref="A123"/>
  </sortState>
  <mergeCells count="2">
    <mergeCell ref="A1:H1"/>
    <mergeCell ref="B61:C61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>
    <oddHeader>&amp;C2013 Victorian AOD Workforce Survey aggregate  report</oddHeader>
    <oddFooter>&amp;A</oddFooter>
  </headerFooter>
  <rowBreaks count="2" manualBreakCount="2">
    <brk id="36" max="7" man="1"/>
    <brk id="68" max="16383" man="1"/>
  </rowBreaks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6"/>
  <sheetViews>
    <sheetView zoomScale="75" zoomScaleNormal="75" zoomScaleSheetLayoutView="75" workbookViewId="0">
      <selection sqref="A1:H1"/>
    </sheetView>
  </sheetViews>
  <sheetFormatPr defaultRowHeight="18.75" customHeight="1" x14ac:dyDescent="0.2"/>
  <cols>
    <col min="1" max="1" width="47.69921875" style="159" customWidth="1"/>
    <col min="2" max="2" width="60.296875" customWidth="1"/>
    <col min="3" max="3" width="20.69921875" customWidth="1"/>
    <col min="4" max="4" width="21.296875" customWidth="1"/>
    <col min="5" max="5" width="20.69921875" customWidth="1"/>
    <col min="6" max="6" width="11" customWidth="1"/>
    <col min="7" max="7" width="13.59765625" customWidth="1"/>
    <col min="8" max="8" width="10.796875" customWidth="1"/>
    <col min="9" max="9" width="8" customWidth="1"/>
    <col min="10" max="10" width="9.59765625" customWidth="1"/>
  </cols>
  <sheetData>
    <row r="1" spans="1:12" s="33" customFormat="1" ht="55.5" customHeight="1" x14ac:dyDescent="0.2">
      <c r="A1" s="244" t="s">
        <v>922</v>
      </c>
      <c r="B1" s="244"/>
      <c r="C1" s="244"/>
      <c r="D1" s="244"/>
      <c r="E1" s="244"/>
      <c r="F1" s="244"/>
      <c r="G1" s="244"/>
      <c r="H1" s="244"/>
    </row>
    <row r="2" spans="1:12" s="2" customFormat="1" ht="18.75" customHeight="1" x14ac:dyDescent="0.25">
      <c r="A2" s="16"/>
      <c r="D2" s="3"/>
      <c r="E2" s="3"/>
    </row>
    <row r="3" spans="1:12" s="2" customFormat="1" ht="18.75" customHeight="1" x14ac:dyDescent="0.25">
      <c r="A3" s="168" t="s">
        <v>26</v>
      </c>
      <c r="B3" s="169" t="s">
        <v>142</v>
      </c>
      <c r="C3" s="3"/>
    </row>
    <row r="4" spans="1:12" s="2" customFormat="1" ht="18.75" customHeight="1" x14ac:dyDescent="0.25">
      <c r="A4" s="181" t="s">
        <v>1</v>
      </c>
      <c r="B4" s="2" t="s">
        <v>930</v>
      </c>
    </row>
    <row r="5" spans="1:12" s="2" customFormat="1" ht="18.75" customHeight="1" x14ac:dyDescent="0.25">
      <c r="A5" s="16"/>
      <c r="D5" s="24"/>
    </row>
    <row r="6" spans="1:12" s="2" customFormat="1" ht="18" x14ac:dyDescent="0.25">
      <c r="A6" s="73" t="s">
        <v>891</v>
      </c>
      <c r="B6" s="78" t="s">
        <v>2</v>
      </c>
      <c r="C6" s="78" t="s">
        <v>3</v>
      </c>
      <c r="D6" s="75" t="s">
        <v>4</v>
      </c>
      <c r="E6" s="75" t="s">
        <v>619</v>
      </c>
    </row>
    <row r="7" spans="1:12" s="2" customFormat="1" ht="18.75" customHeight="1" x14ac:dyDescent="0.25">
      <c r="A7" s="124" t="s">
        <v>21</v>
      </c>
      <c r="B7" s="37">
        <v>11</v>
      </c>
      <c r="C7" s="37">
        <v>36</v>
      </c>
      <c r="D7" s="75">
        <v>47</v>
      </c>
      <c r="E7" s="101">
        <f>Table1627[[#This Row],[Total]]/Table1627[[#Totals],[Total]]</f>
        <v>7.4840764331210188E-2</v>
      </c>
    </row>
    <row r="8" spans="1:12" s="2" customFormat="1" ht="18.75" customHeight="1" x14ac:dyDescent="0.25">
      <c r="A8" s="124" t="s">
        <v>22</v>
      </c>
      <c r="B8" s="37">
        <v>176</v>
      </c>
      <c r="C8" s="37">
        <v>399</v>
      </c>
      <c r="D8" s="75">
        <v>581</v>
      </c>
      <c r="E8" s="101">
        <f>Table1627[[#This Row],[Total]]/Table1627[[#Totals],[Total]]</f>
        <v>0.92515923566878977</v>
      </c>
    </row>
    <row r="9" spans="1:12" s="2" customFormat="1" ht="18.75" customHeight="1" x14ac:dyDescent="0.25">
      <c r="A9" s="158" t="s">
        <v>4</v>
      </c>
      <c r="B9" s="99">
        <f>SUBTOTAL(109,Table1627[Rural])</f>
        <v>187</v>
      </c>
      <c r="C9" s="99">
        <f>SUBTOTAL(109,Table1627[Metro])</f>
        <v>435</v>
      </c>
      <c r="D9" s="98">
        <f>SUBTOTAL(109,Table1627[Total])</f>
        <v>628</v>
      </c>
      <c r="E9" s="102">
        <f>SUBTOTAL(109,Table1627[% total])</f>
        <v>1</v>
      </c>
      <c r="F9"/>
      <c r="G9"/>
      <c r="H9"/>
      <c r="I9"/>
      <c r="J9"/>
      <c r="K9"/>
      <c r="L9"/>
    </row>
    <row r="10" spans="1:12" s="2" customFormat="1" ht="18.75" customHeight="1" x14ac:dyDescent="0.25">
      <c r="A10" s="158"/>
      <c r="B10" s="99"/>
      <c r="C10" s="99"/>
      <c r="D10" s="98"/>
      <c r="E10" s="102"/>
      <c r="F10" s="221"/>
      <c r="G10" s="221"/>
      <c r="H10" s="221"/>
      <c r="I10" s="221"/>
      <c r="J10" s="221"/>
      <c r="K10" s="221"/>
      <c r="L10" s="221"/>
    </row>
    <row r="11" spans="1:12" s="2" customFormat="1" ht="18.75" customHeight="1" x14ac:dyDescent="0.25">
      <c r="A11" s="168" t="s">
        <v>28</v>
      </c>
      <c r="B11" s="3" t="s">
        <v>931</v>
      </c>
      <c r="C11" s="3"/>
      <c r="F11"/>
      <c r="G11"/>
      <c r="H11"/>
      <c r="I11"/>
      <c r="J11"/>
      <c r="K11"/>
      <c r="L11"/>
    </row>
    <row r="12" spans="1:12" s="2" customFormat="1" ht="18.75" customHeight="1" x14ac:dyDescent="0.25">
      <c r="A12" s="181" t="s">
        <v>1</v>
      </c>
      <c r="B12" s="2" t="s">
        <v>737</v>
      </c>
      <c r="F12"/>
      <c r="G12"/>
      <c r="H12"/>
      <c r="I12"/>
      <c r="J12"/>
    </row>
    <row r="13" spans="1:12" s="2" customFormat="1" ht="18.75" customHeight="1" x14ac:dyDescent="0.25">
      <c r="A13" s="16"/>
      <c r="C13" s="6"/>
      <c r="F13"/>
      <c r="G13"/>
      <c r="H13"/>
      <c r="I13"/>
      <c r="J13"/>
    </row>
    <row r="14" spans="1:12" s="2" customFormat="1" ht="18.75" customHeight="1" x14ac:dyDescent="0.25">
      <c r="A14" s="73" t="s">
        <v>99</v>
      </c>
      <c r="B14" s="76" t="s">
        <v>18</v>
      </c>
      <c r="C14" s="76" t="s">
        <v>619</v>
      </c>
      <c r="F14"/>
      <c r="G14"/>
      <c r="H14"/>
      <c r="I14"/>
      <c r="J14"/>
    </row>
    <row r="15" spans="1:12" s="2" customFormat="1" ht="18.75" customHeight="1" x14ac:dyDescent="0.25">
      <c r="A15" s="124" t="s">
        <v>143</v>
      </c>
      <c r="B15" s="75">
        <v>179</v>
      </c>
      <c r="C15" s="77">
        <f>Table1728[[#This Row],[Frequency]]/Table1728[[#Totals],[Frequency]]</f>
        <v>0.21963190184049081</v>
      </c>
      <c r="F15"/>
      <c r="G15"/>
      <c r="H15"/>
      <c r="I15"/>
      <c r="J15"/>
    </row>
    <row r="16" spans="1:12" s="2" customFormat="1" ht="18.75" customHeight="1" x14ac:dyDescent="0.25">
      <c r="A16" s="124" t="s">
        <v>144</v>
      </c>
      <c r="B16" s="75">
        <v>87</v>
      </c>
      <c r="C16" s="77">
        <f>Table1728[[#This Row],[Frequency]]/Table1728[[#Totals],[Frequency]]</f>
        <v>0.10674846625766871</v>
      </c>
      <c r="F16"/>
      <c r="G16"/>
      <c r="H16"/>
      <c r="I16"/>
      <c r="J16"/>
    </row>
    <row r="17" spans="1:3" s="2" customFormat="1" ht="18.75" customHeight="1" x14ac:dyDescent="0.25">
      <c r="A17" s="124" t="s">
        <v>163</v>
      </c>
      <c r="B17" s="75">
        <v>80</v>
      </c>
      <c r="C17" s="77">
        <f>Table1728[[#This Row],[Frequency]]/Table1728[[#Totals],[Frequency]]</f>
        <v>9.815950920245399E-2</v>
      </c>
    </row>
    <row r="18" spans="1:3" s="2" customFormat="1" ht="18.75" customHeight="1" x14ac:dyDescent="0.25">
      <c r="A18" s="124" t="s">
        <v>164</v>
      </c>
      <c r="B18" s="75">
        <v>62</v>
      </c>
      <c r="C18" s="77">
        <f>Table1728[[#This Row],[Frequency]]/Table1728[[#Totals],[Frequency]]</f>
        <v>7.6073619631901845E-2</v>
      </c>
    </row>
    <row r="19" spans="1:3" s="2" customFormat="1" ht="18.75" customHeight="1" x14ac:dyDescent="0.25">
      <c r="A19" s="124" t="s">
        <v>145</v>
      </c>
      <c r="B19" s="75">
        <v>47</v>
      </c>
      <c r="C19" s="77">
        <f>Table1728[[#This Row],[Frequency]]/Table1728[[#Totals],[Frequency]]</f>
        <v>5.7668711656441718E-2</v>
      </c>
    </row>
    <row r="20" spans="1:3" s="2" customFormat="1" ht="18.75" customHeight="1" x14ac:dyDescent="0.25">
      <c r="A20" s="124" t="s">
        <v>146</v>
      </c>
      <c r="B20" s="75">
        <v>46</v>
      </c>
      <c r="C20" s="77">
        <f>Table1728[[#This Row],[Frequency]]/Table1728[[#Totals],[Frequency]]</f>
        <v>5.6441717791411043E-2</v>
      </c>
    </row>
    <row r="21" spans="1:3" s="2" customFormat="1" ht="18.75" customHeight="1" x14ac:dyDescent="0.25">
      <c r="A21" s="124" t="s">
        <v>147</v>
      </c>
      <c r="B21" s="75">
        <v>40</v>
      </c>
      <c r="C21" s="77">
        <f>Table1728[[#This Row],[Frequency]]/Table1728[[#Totals],[Frequency]]</f>
        <v>4.9079754601226995E-2</v>
      </c>
    </row>
    <row r="22" spans="1:3" s="2" customFormat="1" ht="18.75" customHeight="1" x14ac:dyDescent="0.25">
      <c r="A22" s="124" t="s">
        <v>148</v>
      </c>
      <c r="B22" s="75">
        <v>34</v>
      </c>
      <c r="C22" s="77">
        <f>Table1728[[#This Row],[Frequency]]/Table1728[[#Totals],[Frequency]]</f>
        <v>4.1717791411042947E-2</v>
      </c>
    </row>
    <row r="23" spans="1:3" s="2" customFormat="1" ht="18.75" customHeight="1" x14ac:dyDescent="0.25">
      <c r="A23" s="124" t="s">
        <v>149</v>
      </c>
      <c r="B23" s="75">
        <v>26</v>
      </c>
      <c r="C23" s="77">
        <f>Table1728[[#This Row],[Frequency]]/Table1728[[#Totals],[Frequency]]</f>
        <v>3.1901840490797549E-2</v>
      </c>
    </row>
    <row r="24" spans="1:3" s="2" customFormat="1" ht="18.75" customHeight="1" x14ac:dyDescent="0.25">
      <c r="A24" s="124" t="s">
        <v>150</v>
      </c>
      <c r="B24" s="75">
        <v>23</v>
      </c>
      <c r="C24" s="77">
        <f>Table1728[[#This Row],[Frequency]]/Table1728[[#Totals],[Frequency]]</f>
        <v>2.8220858895705522E-2</v>
      </c>
    </row>
    <row r="25" spans="1:3" s="2" customFormat="1" ht="18.75" customHeight="1" x14ac:dyDescent="0.25">
      <c r="A25" s="124" t="s">
        <v>151</v>
      </c>
      <c r="B25" s="75">
        <v>22</v>
      </c>
      <c r="C25" s="77">
        <f>Table1728[[#This Row],[Frequency]]/Table1728[[#Totals],[Frequency]]</f>
        <v>2.6993865030674847E-2</v>
      </c>
    </row>
    <row r="26" spans="1:3" s="2" customFormat="1" ht="54" x14ac:dyDescent="0.25">
      <c r="A26" s="124" t="s">
        <v>152</v>
      </c>
      <c r="B26" s="75">
        <v>22</v>
      </c>
      <c r="C26" s="77">
        <f>Table1728[[#This Row],[Frequency]]/Table1728[[#Totals],[Frequency]]</f>
        <v>2.6993865030674847E-2</v>
      </c>
    </row>
    <row r="27" spans="1:3" s="2" customFormat="1" ht="18.75" customHeight="1" x14ac:dyDescent="0.25">
      <c r="A27" s="124" t="s">
        <v>153</v>
      </c>
      <c r="B27" s="75">
        <v>17</v>
      </c>
      <c r="C27" s="77">
        <f>Table1728[[#This Row],[Frequency]]/Table1728[[#Totals],[Frequency]]</f>
        <v>2.0858895705521473E-2</v>
      </c>
    </row>
    <row r="28" spans="1:3" s="2" customFormat="1" ht="18.75" customHeight="1" x14ac:dyDescent="0.25">
      <c r="A28" s="124" t="s">
        <v>154</v>
      </c>
      <c r="B28" s="75">
        <v>17</v>
      </c>
      <c r="C28" s="77">
        <f>Table1728[[#This Row],[Frequency]]/Table1728[[#Totals],[Frequency]]</f>
        <v>2.0858895705521473E-2</v>
      </c>
    </row>
    <row r="29" spans="1:3" s="2" customFormat="1" ht="18.75" customHeight="1" x14ac:dyDescent="0.25">
      <c r="A29" s="124" t="s">
        <v>155</v>
      </c>
      <c r="B29" s="75">
        <v>14</v>
      </c>
      <c r="C29" s="77">
        <f>Table1728[[#This Row],[Frequency]]/Table1728[[#Totals],[Frequency]]</f>
        <v>1.7177914110429449E-2</v>
      </c>
    </row>
    <row r="30" spans="1:3" s="2" customFormat="1" ht="18.75" customHeight="1" x14ac:dyDescent="0.25">
      <c r="A30" s="124" t="s">
        <v>594</v>
      </c>
      <c r="B30" s="75">
        <v>13</v>
      </c>
      <c r="C30" s="77">
        <f>Table1728[[#This Row],[Frequency]]/Table1728[[#Totals],[Frequency]]</f>
        <v>1.5950920245398775E-2</v>
      </c>
    </row>
    <row r="31" spans="1:3" s="2" customFormat="1" ht="18.75" customHeight="1" x14ac:dyDescent="0.25">
      <c r="A31" s="124" t="s">
        <v>156</v>
      </c>
      <c r="B31" s="75">
        <v>11</v>
      </c>
      <c r="C31" s="77">
        <f>Table1728[[#This Row],[Frequency]]/Table1728[[#Totals],[Frequency]]</f>
        <v>1.3496932515337423E-2</v>
      </c>
    </row>
    <row r="32" spans="1:3" s="2" customFormat="1" ht="18.75" customHeight="1" x14ac:dyDescent="0.25">
      <c r="A32" s="124" t="s">
        <v>157</v>
      </c>
      <c r="B32" s="75">
        <v>11</v>
      </c>
      <c r="C32" s="77">
        <f>Table1728[[#This Row],[Frequency]]/Table1728[[#Totals],[Frequency]]</f>
        <v>1.3496932515337423E-2</v>
      </c>
    </row>
    <row r="33" spans="1:3" s="2" customFormat="1" ht="18.75" customHeight="1" x14ac:dyDescent="0.25">
      <c r="A33" s="124" t="s">
        <v>158</v>
      </c>
      <c r="B33" s="75">
        <v>10</v>
      </c>
      <c r="C33" s="77">
        <f>Table1728[[#This Row],[Frequency]]/Table1728[[#Totals],[Frequency]]</f>
        <v>1.2269938650306749E-2</v>
      </c>
    </row>
    <row r="34" spans="1:3" s="2" customFormat="1" ht="18.75" customHeight="1" x14ac:dyDescent="0.25">
      <c r="A34" s="124" t="s">
        <v>159</v>
      </c>
      <c r="B34" s="75">
        <v>9</v>
      </c>
      <c r="C34" s="77">
        <f>Table1728[[#This Row],[Frequency]]/Table1728[[#Totals],[Frequency]]</f>
        <v>1.1042944785276074E-2</v>
      </c>
    </row>
    <row r="35" spans="1:3" s="2" customFormat="1" ht="18.75" customHeight="1" x14ac:dyDescent="0.25">
      <c r="A35" s="124" t="s">
        <v>595</v>
      </c>
      <c r="B35" s="75">
        <v>6</v>
      </c>
      <c r="C35" s="77">
        <f>Table1728[[#This Row],[Frequency]]/Table1728[[#Totals],[Frequency]]</f>
        <v>7.3619631901840491E-3</v>
      </c>
    </row>
    <row r="36" spans="1:3" s="2" customFormat="1" ht="18.75" customHeight="1" x14ac:dyDescent="0.25">
      <c r="A36" s="124" t="s">
        <v>899</v>
      </c>
      <c r="B36" s="75">
        <v>5</v>
      </c>
      <c r="C36" s="77">
        <f>Table1728[[#This Row],[Frequency]]/Table1728[[#Totals],[Frequency]]</f>
        <v>6.1349693251533744E-3</v>
      </c>
    </row>
    <row r="37" spans="1:3" s="2" customFormat="1" ht="18.75" customHeight="1" x14ac:dyDescent="0.25">
      <c r="A37" s="124" t="s">
        <v>160</v>
      </c>
      <c r="B37" s="75">
        <v>4</v>
      </c>
      <c r="C37" s="77">
        <f>Table1728[[#This Row],[Frequency]]/Table1728[[#Totals],[Frequency]]</f>
        <v>4.9079754601226997E-3</v>
      </c>
    </row>
    <row r="38" spans="1:3" s="2" customFormat="1" ht="18.75" customHeight="1" x14ac:dyDescent="0.25">
      <c r="A38" s="124" t="s">
        <v>161</v>
      </c>
      <c r="B38" s="75">
        <v>2</v>
      </c>
      <c r="C38" s="77">
        <f>Table1728[[#This Row],[Frequency]]/Table1728[[#Totals],[Frequency]]</f>
        <v>2.4539877300613498E-3</v>
      </c>
    </row>
    <row r="39" spans="1:3" s="2" customFormat="1" ht="18.75" customHeight="1" x14ac:dyDescent="0.25">
      <c r="A39" s="124" t="s">
        <v>162</v>
      </c>
      <c r="B39" s="75">
        <v>1</v>
      </c>
      <c r="C39" s="77">
        <f>Table1728[[#This Row],[Frequency]]/Table1728[[#Totals],[Frequency]]</f>
        <v>1.2269938650306749E-3</v>
      </c>
    </row>
    <row r="40" spans="1:3" s="2" customFormat="1" ht="18.75" customHeight="1" x14ac:dyDescent="0.25">
      <c r="A40" s="124" t="s">
        <v>140</v>
      </c>
      <c r="B40" s="75">
        <v>27</v>
      </c>
      <c r="C40" s="77">
        <f>Table1728[[#This Row],[Frequency]]/Table1728[[#Totals],[Frequency]]</f>
        <v>3.3128834355828224E-2</v>
      </c>
    </row>
    <row r="41" spans="1:3" s="2" customFormat="1" ht="18.75" customHeight="1" x14ac:dyDescent="0.25">
      <c r="A41" s="158" t="s">
        <v>4</v>
      </c>
      <c r="B41" s="78">
        <f>SUBTOTAL(109,Table1728[Frequency])</f>
        <v>815</v>
      </c>
      <c r="C41" s="79">
        <f>SUBTOTAL(109,Table1728[% total])</f>
        <v>1</v>
      </c>
    </row>
    <row r="42" spans="1:3" s="2" customFormat="1" ht="18.75" customHeight="1" x14ac:dyDescent="0.25">
      <c r="A42" s="168" t="s">
        <v>95</v>
      </c>
      <c r="B42" s="3" t="s">
        <v>165</v>
      </c>
    </row>
    <row r="43" spans="1:3" s="2" customFormat="1" ht="18.75" customHeight="1" x14ac:dyDescent="0.25">
      <c r="A43" s="181" t="s">
        <v>1</v>
      </c>
      <c r="B43" s="2" t="s">
        <v>738</v>
      </c>
    </row>
    <row r="44" spans="1:3" s="2" customFormat="1" ht="18.75" customHeight="1" x14ac:dyDescent="0.25">
      <c r="A44" s="181"/>
    </row>
    <row r="45" spans="1:3" s="2" customFormat="1" ht="18.75" customHeight="1" x14ac:dyDescent="0.25">
      <c r="A45" s="73" t="s">
        <v>177</v>
      </c>
      <c r="B45" s="80" t="s">
        <v>18</v>
      </c>
      <c r="C45" s="80" t="s">
        <v>619</v>
      </c>
    </row>
    <row r="46" spans="1:3" s="2" customFormat="1" ht="18.75" customHeight="1" x14ac:dyDescent="0.25">
      <c r="A46" s="183" t="s">
        <v>166</v>
      </c>
      <c r="B46" s="71">
        <v>27</v>
      </c>
      <c r="C46" s="81">
        <f>Table1829[[#This Row],[Frequency]]/Table1829[[#Totals],[Frequency]]</f>
        <v>3.3128834355828224E-2</v>
      </c>
    </row>
    <row r="47" spans="1:3" s="2" customFormat="1" ht="18.75" customHeight="1" x14ac:dyDescent="0.25">
      <c r="A47" s="183" t="s">
        <v>167</v>
      </c>
      <c r="B47" s="71">
        <v>305</v>
      </c>
      <c r="C47" s="81">
        <f>Table1829[[#This Row],[Frequency]]/Table1829[[#Totals],[Frequency]]</f>
        <v>0.37423312883435583</v>
      </c>
    </row>
    <row r="48" spans="1:3" s="2" customFormat="1" ht="18" x14ac:dyDescent="0.25">
      <c r="A48" s="187" t="s">
        <v>932</v>
      </c>
      <c r="B48" s="71">
        <v>5</v>
      </c>
      <c r="C48" s="81">
        <f>Table1829[[#This Row],[Frequency]]/Table1829[[#Totals],[Frequency]]</f>
        <v>6.1349693251533744E-3</v>
      </c>
    </row>
    <row r="49" spans="1:3" s="2" customFormat="1" ht="18.75" customHeight="1" x14ac:dyDescent="0.25">
      <c r="A49" s="183" t="s">
        <v>168</v>
      </c>
      <c r="B49" s="71">
        <v>31</v>
      </c>
      <c r="C49" s="81">
        <f>Table1829[[#This Row],[Frequency]]/Table1829[[#Totals],[Frequency]]</f>
        <v>3.8036809815950923E-2</v>
      </c>
    </row>
    <row r="50" spans="1:3" s="2" customFormat="1" ht="18.75" customHeight="1" x14ac:dyDescent="0.25">
      <c r="A50" s="183" t="s">
        <v>169</v>
      </c>
      <c r="B50" s="71">
        <v>9</v>
      </c>
      <c r="C50" s="81">
        <f>Table1829[[#This Row],[Frequency]]/Table1829[[#Totals],[Frequency]]</f>
        <v>1.1042944785276074E-2</v>
      </c>
    </row>
    <row r="51" spans="1:3" s="2" customFormat="1" ht="18.75" customHeight="1" x14ac:dyDescent="0.25">
      <c r="A51" s="183" t="s">
        <v>170</v>
      </c>
      <c r="B51" s="71">
        <v>28</v>
      </c>
      <c r="C51" s="81">
        <f>Table1829[[#This Row],[Frequency]]/Table1829[[#Totals],[Frequency]]</f>
        <v>3.4355828220858899E-2</v>
      </c>
    </row>
    <row r="52" spans="1:3" s="2" customFormat="1" ht="18.75" customHeight="1" x14ac:dyDescent="0.25">
      <c r="A52" s="183" t="s">
        <v>171</v>
      </c>
      <c r="B52" s="71">
        <v>68</v>
      </c>
      <c r="C52" s="81">
        <f>Table1829[[#This Row],[Frequency]]/Table1829[[#Totals],[Frequency]]</f>
        <v>8.3435582822085894E-2</v>
      </c>
    </row>
    <row r="53" spans="1:3" s="2" customFormat="1" ht="18.75" customHeight="1" x14ac:dyDescent="0.25">
      <c r="A53" s="183" t="s">
        <v>172</v>
      </c>
      <c r="B53" s="71">
        <v>3</v>
      </c>
      <c r="C53" s="81">
        <f>Table1829[[#This Row],[Frequency]]/Table1829[[#Totals],[Frequency]]</f>
        <v>3.6809815950920245E-3</v>
      </c>
    </row>
    <row r="54" spans="1:3" s="2" customFormat="1" ht="18.75" customHeight="1" x14ac:dyDescent="0.25">
      <c r="A54" s="183" t="s">
        <v>173</v>
      </c>
      <c r="B54" s="71">
        <v>3</v>
      </c>
      <c r="C54" s="81">
        <f>Table1829[[#This Row],[Frequency]]/Table1829[[#Totals],[Frequency]]</f>
        <v>3.6809815950920245E-3</v>
      </c>
    </row>
    <row r="55" spans="1:3" s="2" customFormat="1" ht="18.75" customHeight="1" x14ac:dyDescent="0.25">
      <c r="A55" s="187" t="s">
        <v>900</v>
      </c>
      <c r="B55" s="71">
        <v>85</v>
      </c>
      <c r="C55" s="81">
        <f>Table1829[[#This Row],[Frequency]]/Table1829[[#Totals],[Frequency]]</f>
        <v>0.10429447852760736</v>
      </c>
    </row>
    <row r="56" spans="1:3" s="2" customFormat="1" ht="18.75" customHeight="1" x14ac:dyDescent="0.25">
      <c r="A56" s="183" t="s">
        <v>174</v>
      </c>
      <c r="B56" s="71">
        <v>74</v>
      </c>
      <c r="C56" s="81">
        <f>Table1829[[#This Row],[Frequency]]/Table1829[[#Totals],[Frequency]]</f>
        <v>9.0797546012269942E-2</v>
      </c>
    </row>
    <row r="57" spans="1:3" s="2" customFormat="1" ht="18.75" customHeight="1" x14ac:dyDescent="0.25">
      <c r="A57" s="183" t="s">
        <v>175</v>
      </c>
      <c r="B57" s="71">
        <v>13</v>
      </c>
      <c r="C57" s="81">
        <f>Table1829[[#This Row],[Frequency]]/Table1829[[#Totals],[Frequency]]</f>
        <v>1.5950920245398775E-2</v>
      </c>
    </row>
    <row r="58" spans="1:3" s="2" customFormat="1" ht="18.75" customHeight="1" x14ac:dyDescent="0.25">
      <c r="A58" s="183" t="s">
        <v>176</v>
      </c>
      <c r="B58" s="71">
        <v>137</v>
      </c>
      <c r="C58" s="81">
        <f>Table1829[[#This Row],[Frequency]]/Table1829[[#Totals],[Frequency]]</f>
        <v>0.16809815950920245</v>
      </c>
    </row>
    <row r="59" spans="1:3" s="2" customFormat="1" ht="18.75" customHeight="1" x14ac:dyDescent="0.25">
      <c r="A59" s="183" t="s">
        <v>140</v>
      </c>
      <c r="B59" s="71">
        <v>27</v>
      </c>
      <c r="C59" s="81">
        <f>Table1829[[#This Row],[Frequency]]/Table1829[[#Totals],[Frequency]]</f>
        <v>3.3128834355828224E-2</v>
      </c>
    </row>
    <row r="60" spans="1:3" s="2" customFormat="1" ht="18.75" customHeight="1" x14ac:dyDescent="0.25">
      <c r="A60" s="184" t="s">
        <v>4</v>
      </c>
      <c r="B60" s="71">
        <f>SUBTOTAL(109,Table1829[Frequency])</f>
        <v>815</v>
      </c>
      <c r="C60" s="72">
        <f>SUBTOTAL(109,Table1829[% total])</f>
        <v>1</v>
      </c>
    </row>
    <row r="61" spans="1:3" s="2" customFormat="1" ht="18.75" customHeight="1" x14ac:dyDescent="0.25">
      <c r="A61" s="16"/>
    </row>
    <row r="62" spans="1:3" s="2" customFormat="1" ht="18.75" customHeight="1" x14ac:dyDescent="0.25">
      <c r="A62" s="168" t="s">
        <v>29</v>
      </c>
      <c r="B62" s="3" t="s">
        <v>596</v>
      </c>
    </row>
    <row r="63" spans="1:3" s="2" customFormat="1" ht="18.75" customHeight="1" x14ac:dyDescent="0.25">
      <c r="A63" s="181" t="s">
        <v>1</v>
      </c>
      <c r="B63" s="2" t="s">
        <v>933</v>
      </c>
    </row>
    <row r="64" spans="1:3" s="2" customFormat="1" ht="18.75" customHeight="1" x14ac:dyDescent="0.25">
      <c r="A64" s="181"/>
    </row>
    <row r="65" spans="1:12" s="2" customFormat="1" ht="18.75" customHeight="1" x14ac:dyDescent="0.25">
      <c r="A65" s="83" t="s">
        <v>598</v>
      </c>
      <c r="B65" s="76" t="s">
        <v>901</v>
      </c>
      <c r="C65" s="76" t="s">
        <v>902</v>
      </c>
      <c r="D65" s="76"/>
      <c r="E65" s="76"/>
    </row>
    <row r="66" spans="1:12" s="7" customFormat="1" ht="18.75" customHeight="1" x14ac:dyDescent="0.25">
      <c r="A66" s="185" t="s">
        <v>184</v>
      </c>
      <c r="B66" s="85">
        <v>32.666139088729004</v>
      </c>
      <c r="C66" s="90">
        <v>36</v>
      </c>
      <c r="D66" s="85"/>
      <c r="E66" s="85"/>
      <c r="F66" s="2"/>
      <c r="G66" s="2"/>
      <c r="H66" s="2"/>
    </row>
    <row r="67" spans="1:12" s="3" customFormat="1" ht="18.75" customHeight="1" x14ac:dyDescent="0.25">
      <c r="A67" s="185" t="s">
        <v>185</v>
      </c>
      <c r="B67" s="85">
        <v>35.621327014217997</v>
      </c>
      <c r="C67" s="90">
        <v>38</v>
      </c>
      <c r="D67" s="85"/>
      <c r="E67" s="85"/>
      <c r="F67" s="20"/>
      <c r="G67" s="20"/>
      <c r="H67" s="7"/>
    </row>
    <row r="68" spans="1:12" s="2" customFormat="1" ht="18.75" customHeight="1" x14ac:dyDescent="0.25">
      <c r="A68" s="186" t="s">
        <v>599</v>
      </c>
      <c r="B68" s="89">
        <v>33.299999999999997</v>
      </c>
      <c r="C68" s="91">
        <v>38</v>
      </c>
      <c r="D68" s="89"/>
      <c r="E68" s="89"/>
      <c r="J68" s="25"/>
      <c r="K68" s="31"/>
      <c r="L68" s="7"/>
    </row>
    <row r="69" spans="1:12" s="2" customFormat="1" ht="18.75" customHeight="1" x14ac:dyDescent="0.25">
      <c r="A69" s="186" t="s">
        <v>600</v>
      </c>
      <c r="B69" s="89">
        <v>34.299999999999997</v>
      </c>
      <c r="C69" s="89">
        <v>38</v>
      </c>
      <c r="D69" s="89"/>
      <c r="E69" s="89"/>
      <c r="H69" s="30"/>
      <c r="J69" s="25"/>
      <c r="K69" s="31"/>
      <c r="L69" s="7"/>
    </row>
    <row r="70" spans="1:12" s="2" customFormat="1" ht="18.75" customHeight="1" x14ac:dyDescent="0.25">
      <c r="A70" s="168"/>
      <c r="B70" s="3"/>
      <c r="H70" s="30"/>
      <c r="J70" s="25"/>
      <c r="K70" s="31"/>
      <c r="L70" s="7"/>
    </row>
    <row r="71" spans="1:12" s="2" customFormat="1" ht="18.75" customHeight="1" x14ac:dyDescent="0.25">
      <c r="A71" s="168" t="s">
        <v>89</v>
      </c>
      <c r="B71" s="3" t="s">
        <v>186</v>
      </c>
      <c r="C71" s="20"/>
      <c r="D71" s="20"/>
      <c r="E71" s="20"/>
      <c r="H71" s="30"/>
      <c r="J71" s="25"/>
      <c r="K71" s="31"/>
      <c r="L71" s="7"/>
    </row>
    <row r="72" spans="1:12" s="2" customFormat="1" ht="18.75" customHeight="1" x14ac:dyDescent="0.25">
      <c r="A72" s="181" t="s">
        <v>1</v>
      </c>
      <c r="B72" s="2" t="s">
        <v>934</v>
      </c>
      <c r="C72" s="3"/>
      <c r="D72" s="3"/>
      <c r="E72" s="3"/>
      <c r="H72" s="30"/>
      <c r="J72" s="25"/>
      <c r="K72" s="31"/>
      <c r="L72" s="7"/>
    </row>
    <row r="73" spans="1:12" s="2" customFormat="1" ht="18.75" customHeight="1" x14ac:dyDescent="0.25">
      <c r="A73" s="16"/>
      <c r="H73" s="30"/>
      <c r="J73" s="25"/>
      <c r="K73" s="31"/>
      <c r="L73" s="7"/>
    </row>
    <row r="74" spans="1:12" s="2" customFormat="1" ht="18.75" customHeight="1" x14ac:dyDescent="0.25">
      <c r="A74" s="86" t="s">
        <v>183</v>
      </c>
      <c r="B74" s="87" t="s">
        <v>187</v>
      </c>
      <c r="C74" s="87" t="s">
        <v>188</v>
      </c>
      <c r="D74" s="87" t="s">
        <v>189</v>
      </c>
      <c r="E74" s="87" t="s">
        <v>620</v>
      </c>
      <c r="H74" s="30"/>
      <c r="J74" s="25"/>
      <c r="K74" s="31"/>
      <c r="L74" s="7"/>
    </row>
    <row r="75" spans="1:12" s="2" customFormat="1" ht="18.75" customHeight="1" x14ac:dyDescent="0.25">
      <c r="A75" s="124" t="s">
        <v>140</v>
      </c>
      <c r="B75" s="72">
        <v>0.25892857142857145</v>
      </c>
      <c r="C75" s="72">
        <v>0.19369369369369369</v>
      </c>
      <c r="D75" s="72">
        <v>0.81818181818181823</v>
      </c>
      <c r="E75" s="72">
        <v>0.26380368098159507</v>
      </c>
      <c r="H75" s="30"/>
      <c r="J75" s="25"/>
      <c r="K75" s="31"/>
      <c r="L75" s="7"/>
    </row>
    <row r="76" spans="1:12" s="2" customFormat="1" ht="18.75" customHeight="1" x14ac:dyDescent="0.25">
      <c r="A76" s="124" t="s">
        <v>90</v>
      </c>
      <c r="B76" s="72">
        <v>0.11071428571428571</v>
      </c>
      <c r="C76" s="72">
        <v>2.7027027027027029E-2</v>
      </c>
      <c r="D76" s="72">
        <v>0</v>
      </c>
      <c r="E76" s="72">
        <v>8.3435582822085894E-2</v>
      </c>
      <c r="H76" s="30"/>
      <c r="J76" s="25"/>
      <c r="K76" s="31"/>
      <c r="L76" s="7"/>
    </row>
    <row r="77" spans="1:12" s="2" customFormat="1" ht="18.75" customHeight="1" x14ac:dyDescent="0.25">
      <c r="A77" s="124" t="s">
        <v>92</v>
      </c>
      <c r="B77" s="72">
        <v>2.6785714285714284E-2</v>
      </c>
      <c r="C77" s="72">
        <v>3.1531531531531529E-2</v>
      </c>
      <c r="D77" s="72">
        <v>0</v>
      </c>
      <c r="E77" s="72">
        <v>2.6993865030674847E-2</v>
      </c>
      <c r="H77" s="30"/>
      <c r="I77" s="30"/>
      <c r="J77" s="25"/>
      <c r="K77" s="31"/>
      <c r="L77" s="7"/>
    </row>
    <row r="78" spans="1:12" s="2" customFormat="1" ht="18.75" customHeight="1" x14ac:dyDescent="0.25">
      <c r="A78" s="124" t="s">
        <v>11</v>
      </c>
      <c r="B78" s="72">
        <v>3.214285714285714E-2</v>
      </c>
      <c r="C78" s="72">
        <v>2.7027027027027029E-2</v>
      </c>
      <c r="D78" s="72">
        <v>0</v>
      </c>
      <c r="E78" s="72">
        <v>2.9447852760736196E-2</v>
      </c>
      <c r="H78" s="30"/>
      <c r="J78" s="25"/>
      <c r="K78" s="31"/>
      <c r="L78" s="7"/>
    </row>
    <row r="79" spans="1:12" s="2" customFormat="1" ht="18.75" customHeight="1" x14ac:dyDescent="0.25">
      <c r="A79" s="124" t="s">
        <v>12</v>
      </c>
      <c r="B79" s="72">
        <v>4.1071428571428571E-2</v>
      </c>
      <c r="C79" s="72">
        <v>4.0540540540540543E-2</v>
      </c>
      <c r="D79" s="72">
        <v>0</v>
      </c>
      <c r="E79" s="72">
        <v>3.9263803680981597E-2</v>
      </c>
      <c r="H79" s="30"/>
      <c r="J79" s="25"/>
      <c r="K79" s="31"/>
      <c r="L79" s="7"/>
    </row>
    <row r="80" spans="1:12" s="2" customFormat="1" ht="18.75" customHeight="1" x14ac:dyDescent="0.25">
      <c r="A80" s="124" t="s">
        <v>13</v>
      </c>
      <c r="B80" s="72">
        <v>4.2857142857142858E-2</v>
      </c>
      <c r="C80" s="72">
        <v>7.2072072072072071E-2</v>
      </c>
      <c r="D80" s="72">
        <v>0</v>
      </c>
      <c r="E80" s="72">
        <v>4.9079754601226995E-2</v>
      </c>
      <c r="H80" s="30"/>
      <c r="J80" s="25"/>
      <c r="K80" s="31"/>
      <c r="L80" s="7"/>
    </row>
    <row r="81" spans="1:12" s="2" customFormat="1" ht="18.75" customHeight="1" x14ac:dyDescent="0.25">
      <c r="A81" s="124" t="s">
        <v>14</v>
      </c>
      <c r="B81" s="72">
        <v>7.678571428571429E-2</v>
      </c>
      <c r="C81" s="72">
        <v>0.1036036036036036</v>
      </c>
      <c r="D81" s="72">
        <v>9.0909090909090912E-2</v>
      </c>
      <c r="E81" s="72">
        <v>8.4662576687116561E-2</v>
      </c>
      <c r="H81" s="30"/>
      <c r="J81" s="25"/>
      <c r="K81" s="31"/>
      <c r="L81" s="7"/>
    </row>
    <row r="82" spans="1:12" s="2" customFormat="1" ht="18.75" customHeight="1" x14ac:dyDescent="0.25">
      <c r="A82" s="124" t="s">
        <v>179</v>
      </c>
      <c r="B82" s="72">
        <v>0.10535714285714286</v>
      </c>
      <c r="C82" s="72">
        <v>0.13513513513513514</v>
      </c>
      <c r="D82" s="72">
        <v>0</v>
      </c>
      <c r="E82" s="72">
        <v>0.10920245398773006</v>
      </c>
      <c r="H82" s="30"/>
      <c r="K82" s="31"/>
      <c r="L82" s="7"/>
    </row>
    <row r="83" spans="1:12" s="2" customFormat="1" ht="18.75" customHeight="1" x14ac:dyDescent="0.25">
      <c r="A83" s="124" t="s">
        <v>180</v>
      </c>
      <c r="B83" s="72">
        <v>0.11071428571428571</v>
      </c>
      <c r="C83" s="72">
        <v>0.17567567567567569</v>
      </c>
      <c r="D83" s="72">
        <v>3.0303030303030304E-2</v>
      </c>
      <c r="E83" s="72">
        <v>0.12515337423312883</v>
      </c>
      <c r="H83" s="30"/>
      <c r="K83" s="31"/>
      <c r="L83" s="7"/>
    </row>
    <row r="84" spans="1:12" s="2" customFormat="1" ht="18.75" customHeight="1" x14ac:dyDescent="0.25">
      <c r="A84" s="124" t="s">
        <v>181</v>
      </c>
      <c r="B84" s="72">
        <v>0.10357142857142858</v>
      </c>
      <c r="C84" s="72">
        <v>0.12162162162162163</v>
      </c>
      <c r="D84" s="72">
        <v>3.0303030303030304E-2</v>
      </c>
      <c r="E84" s="72">
        <v>0.10552147239263804</v>
      </c>
      <c r="H84" s="30"/>
    </row>
    <row r="85" spans="1:12" s="2" customFormat="1" ht="18.75" customHeight="1" x14ac:dyDescent="0.25">
      <c r="A85" s="124" t="s">
        <v>182</v>
      </c>
      <c r="B85" s="72">
        <v>9.1071428571428567E-2</v>
      </c>
      <c r="C85" s="72">
        <v>7.2072072072072071E-2</v>
      </c>
      <c r="D85" s="72">
        <v>3.0303030303030304E-2</v>
      </c>
      <c r="E85" s="72">
        <v>8.3435582822085894E-2</v>
      </c>
    </row>
    <row r="86" spans="1:12" s="2" customFormat="1" ht="18.75" customHeight="1" x14ac:dyDescent="0.25">
      <c r="A86" s="158" t="s">
        <v>4</v>
      </c>
      <c r="B86" s="79">
        <f>SUBTOTAL(109,Table2031[Metro (n=560)])</f>
        <v>1</v>
      </c>
      <c r="C86" s="79">
        <f>SUBTOTAL(109,Table2031[Rural (n=222)])</f>
        <v>1</v>
      </c>
      <c r="D86" s="79">
        <f>SUBTOTAL(109,Table2031[Unknown (n=33)])</f>
        <v>1</v>
      </c>
      <c r="E86" s="79">
        <f>SUBTOTAL(109,Table2031[% total (n=815)])</f>
        <v>1</v>
      </c>
    </row>
    <row r="87" spans="1:12" s="2" customFormat="1" ht="18.75" customHeight="1" x14ac:dyDescent="0.25">
      <c r="A87" s="158"/>
      <c r="B87" s="79"/>
      <c r="C87" s="79"/>
      <c r="D87" s="79"/>
      <c r="E87" s="79"/>
    </row>
    <row r="88" spans="1:12" s="2" customFormat="1" ht="18.75" customHeight="1" x14ac:dyDescent="0.25">
      <c r="A88" s="158"/>
      <c r="B88" s="79"/>
      <c r="C88" s="79"/>
      <c r="D88" s="79"/>
      <c r="E88" s="79"/>
    </row>
    <row r="89" spans="1:12" s="2" customFormat="1" ht="18.75" customHeight="1" x14ac:dyDescent="0.25">
      <c r="A89" s="168" t="s">
        <v>202</v>
      </c>
      <c r="B89" s="3" t="s">
        <v>756</v>
      </c>
      <c r="C89" s="79"/>
      <c r="D89" s="79"/>
      <c r="E89" s="79"/>
    </row>
    <row r="90" spans="1:12" s="2" customFormat="1" ht="18.75" customHeight="1" x14ac:dyDescent="0.25">
      <c r="A90" s="181" t="s">
        <v>1</v>
      </c>
      <c r="B90" s="2" t="s">
        <v>757</v>
      </c>
      <c r="C90" s="79"/>
      <c r="D90" s="79"/>
      <c r="E90" s="79"/>
    </row>
    <row r="91" spans="1:12" s="2" customFormat="1" ht="18.75" customHeight="1" x14ac:dyDescent="0.25">
      <c r="A91" s="158"/>
      <c r="B91" s="79"/>
      <c r="C91" s="79"/>
      <c r="D91" s="79"/>
      <c r="E91" s="79"/>
    </row>
    <row r="92" spans="1:12" s="2" customFormat="1" ht="18.75" customHeight="1" x14ac:dyDescent="0.25">
      <c r="A92" s="73" t="s">
        <v>758</v>
      </c>
      <c r="B92" s="130" t="s">
        <v>767</v>
      </c>
      <c r="C92" s="79"/>
      <c r="D92" s="79"/>
      <c r="E92" s="79"/>
    </row>
    <row r="93" spans="1:12" s="2" customFormat="1" ht="18.75" customHeight="1" x14ac:dyDescent="0.25">
      <c r="A93" s="73" t="s">
        <v>759</v>
      </c>
      <c r="B93" s="72">
        <v>8.4102564102564101E-2</v>
      </c>
      <c r="C93" s="79"/>
      <c r="D93" s="79"/>
      <c r="E93" s="79"/>
    </row>
    <row r="94" spans="1:12" s="2" customFormat="1" ht="18.75" customHeight="1" x14ac:dyDescent="0.25">
      <c r="A94" s="73" t="s">
        <v>760</v>
      </c>
      <c r="B94" s="72">
        <v>0.144739776951673</v>
      </c>
      <c r="C94" s="79"/>
      <c r="D94" s="79"/>
      <c r="E94" s="79"/>
    </row>
    <row r="95" spans="1:12" s="2" customFormat="1" ht="18.75" customHeight="1" x14ac:dyDescent="0.25">
      <c r="A95" s="73" t="s">
        <v>761</v>
      </c>
      <c r="B95" s="72">
        <v>0.117020872865275</v>
      </c>
      <c r="C95" s="79"/>
      <c r="D95" s="79"/>
      <c r="E95" s="79"/>
    </row>
    <row r="96" spans="1:12" s="2" customFormat="1" ht="18.75" customHeight="1" x14ac:dyDescent="0.25">
      <c r="A96" s="73" t="s">
        <v>762</v>
      </c>
      <c r="B96" s="72">
        <v>0.38808362369338001</v>
      </c>
      <c r="C96" s="79"/>
      <c r="D96" s="79"/>
      <c r="E96" s="79"/>
    </row>
    <row r="97" spans="1:5" s="2" customFormat="1" ht="18.75" customHeight="1" x14ac:dyDescent="0.25">
      <c r="A97" s="73" t="s">
        <v>763</v>
      </c>
      <c r="B97" s="72">
        <v>7.7391304347826095E-2</v>
      </c>
      <c r="C97" s="79"/>
      <c r="D97" s="79"/>
      <c r="E97" s="79"/>
    </row>
    <row r="98" spans="1:5" s="2" customFormat="1" ht="18.75" customHeight="1" x14ac:dyDescent="0.25">
      <c r="A98" s="73" t="s">
        <v>764</v>
      </c>
      <c r="B98" s="72">
        <v>9.6706586826347293E-2</v>
      </c>
      <c r="C98" s="79"/>
      <c r="D98" s="79"/>
      <c r="E98" s="79"/>
    </row>
    <row r="99" spans="1:5" s="2" customFormat="1" ht="18.75" customHeight="1" x14ac:dyDescent="0.25">
      <c r="A99" s="73" t="s">
        <v>765</v>
      </c>
      <c r="B99" s="72">
        <v>9.2761341222879698E-2</v>
      </c>
      <c r="C99" s="79"/>
      <c r="D99" s="79"/>
      <c r="E99" s="79"/>
    </row>
    <row r="100" spans="1:5" s="2" customFormat="1" ht="18.75" customHeight="1" x14ac:dyDescent="0.25">
      <c r="A100" s="73" t="s">
        <v>766</v>
      </c>
      <c r="B100" s="72">
        <v>7.4146341463414603E-2</v>
      </c>
      <c r="C100" s="79"/>
      <c r="D100" s="79"/>
      <c r="E100" s="79"/>
    </row>
    <row r="101" spans="1:5" s="2" customFormat="1" ht="18.75" customHeight="1" x14ac:dyDescent="0.25">
      <c r="A101" s="158"/>
      <c r="B101" s="79"/>
      <c r="C101" s="79"/>
      <c r="D101" s="79"/>
      <c r="E101" s="79"/>
    </row>
    <row r="102" spans="1:5" s="2" customFormat="1" ht="18.75" customHeight="1" x14ac:dyDescent="0.25">
      <c r="A102" s="158"/>
      <c r="B102" s="79"/>
      <c r="C102" s="79"/>
      <c r="D102" s="79"/>
      <c r="E102" s="79"/>
    </row>
    <row r="103" spans="1:5" s="2" customFormat="1" ht="18.75" customHeight="1" x14ac:dyDescent="0.25">
      <c r="A103" s="158"/>
      <c r="B103" s="79"/>
      <c r="C103" s="79"/>
      <c r="D103" s="79"/>
      <c r="E103" s="79"/>
    </row>
    <row r="104" spans="1:5" s="2" customFormat="1" ht="18.75" customHeight="1" x14ac:dyDescent="0.25">
      <c r="A104" s="168" t="s">
        <v>97</v>
      </c>
      <c r="B104" s="169" t="s">
        <v>768</v>
      </c>
      <c r="C104" s="169"/>
      <c r="D104" s="79"/>
      <c r="E104" s="79"/>
    </row>
    <row r="105" spans="1:5" s="2" customFormat="1" ht="18.75" customHeight="1" x14ac:dyDescent="0.25">
      <c r="A105" s="181" t="s">
        <v>1</v>
      </c>
      <c r="B105" s="2" t="s">
        <v>769</v>
      </c>
      <c r="C105" s="79"/>
      <c r="D105" s="79"/>
      <c r="E105" s="79"/>
    </row>
    <row r="106" spans="1:5" s="2" customFormat="1" ht="18.75" customHeight="1" x14ac:dyDescent="0.25">
      <c r="A106" s="158"/>
      <c r="B106" s="79"/>
      <c r="C106" s="79"/>
      <c r="D106" s="79"/>
      <c r="E106" s="79"/>
    </row>
    <row r="107" spans="1:5" s="2" customFormat="1" ht="18.75" customHeight="1" x14ac:dyDescent="0.25">
      <c r="A107" s="73" t="s">
        <v>770</v>
      </c>
      <c r="B107" s="130" t="s">
        <v>780</v>
      </c>
      <c r="C107" s="79"/>
      <c r="D107" s="79"/>
      <c r="E107" s="79"/>
    </row>
    <row r="108" spans="1:5" s="2" customFormat="1" ht="36" x14ac:dyDescent="0.25">
      <c r="A108" s="120" t="s">
        <v>771</v>
      </c>
      <c r="B108" s="72">
        <v>0.49082101806239697</v>
      </c>
      <c r="C108" s="79"/>
      <c r="D108" s="79"/>
      <c r="E108" s="79"/>
    </row>
    <row r="109" spans="1:5" s="2" customFormat="1" ht="18.75" customHeight="1" x14ac:dyDescent="0.25">
      <c r="A109" s="73" t="s">
        <v>772</v>
      </c>
      <c r="B109" s="72">
        <v>4.5913043478260897E-2</v>
      </c>
      <c r="C109" s="79"/>
      <c r="D109" s="79"/>
      <c r="E109" s="79"/>
    </row>
    <row r="110" spans="1:5" s="2" customFormat="1" ht="18.75" customHeight="1" x14ac:dyDescent="0.25">
      <c r="A110" s="73" t="s">
        <v>773</v>
      </c>
      <c r="B110" s="72">
        <v>7.28465346534653E-2</v>
      </c>
      <c r="C110" s="79"/>
      <c r="D110" s="79"/>
      <c r="E110" s="79"/>
    </row>
    <row r="111" spans="1:5" s="2" customFormat="1" ht="18.75" customHeight="1" x14ac:dyDescent="0.25">
      <c r="A111" s="73" t="s">
        <v>774</v>
      </c>
      <c r="B111" s="72">
        <v>7.1432160804020095E-2</v>
      </c>
      <c r="C111" s="79"/>
      <c r="D111" s="79"/>
      <c r="E111" s="79"/>
    </row>
    <row r="112" spans="1:5" s="2" customFormat="1" ht="18.75" customHeight="1" x14ac:dyDescent="0.25">
      <c r="A112" s="73" t="s">
        <v>66</v>
      </c>
      <c r="B112" s="72">
        <v>0.10224137931034501</v>
      </c>
      <c r="C112" s="79"/>
      <c r="D112" s="79"/>
      <c r="E112" s="79"/>
    </row>
    <row r="113" spans="1:5" s="2" customFormat="1" ht="18.75" customHeight="1" x14ac:dyDescent="0.25">
      <c r="A113" s="73" t="s">
        <v>775</v>
      </c>
      <c r="B113" s="72">
        <v>0.118390243902439</v>
      </c>
      <c r="C113" s="79"/>
      <c r="D113" s="79"/>
      <c r="E113" s="79"/>
    </row>
    <row r="114" spans="1:5" s="2" customFormat="1" ht="18.75" customHeight="1" x14ac:dyDescent="0.25">
      <c r="A114" s="73" t="s">
        <v>776</v>
      </c>
      <c r="B114" s="72">
        <v>0.124691358024691</v>
      </c>
      <c r="C114" s="79"/>
      <c r="D114" s="79"/>
      <c r="E114" s="79"/>
    </row>
    <row r="115" spans="1:5" s="2" customFormat="1" ht="18.75" customHeight="1" x14ac:dyDescent="0.25">
      <c r="A115" s="73" t="s">
        <v>777</v>
      </c>
      <c r="B115" s="72">
        <v>2.5382352941176502E-2</v>
      </c>
      <c r="C115" s="79"/>
      <c r="D115" s="79"/>
      <c r="E115" s="79"/>
    </row>
    <row r="116" spans="1:5" s="2" customFormat="1" ht="18.75" customHeight="1" x14ac:dyDescent="0.25">
      <c r="A116" s="158" t="s">
        <v>778</v>
      </c>
      <c r="B116" s="72">
        <v>7.4906054279749501E-2</v>
      </c>
      <c r="C116" s="79"/>
      <c r="D116" s="79"/>
      <c r="E116" s="79"/>
    </row>
    <row r="117" spans="1:5" s="2" customFormat="1" ht="18.75" customHeight="1" x14ac:dyDescent="0.25">
      <c r="A117" s="158" t="s">
        <v>779</v>
      </c>
      <c r="B117" s="72">
        <v>8.3290870488322705E-2</v>
      </c>
      <c r="C117" s="79"/>
      <c r="D117" s="79"/>
      <c r="E117" s="79"/>
    </row>
    <row r="118" spans="1:5" s="2" customFormat="1" ht="18.75" customHeight="1" x14ac:dyDescent="0.25">
      <c r="A118" s="32"/>
      <c r="B118" s="13"/>
      <c r="C118" s="13"/>
    </row>
    <row r="119" spans="1:5" s="2" customFormat="1" ht="18.75" customHeight="1" x14ac:dyDescent="0.25">
      <c r="A119" s="32"/>
      <c r="B119" s="13"/>
      <c r="C119" s="13"/>
    </row>
    <row r="120" spans="1:5" s="2" customFormat="1" ht="18.75" customHeight="1" x14ac:dyDescent="0.25">
      <c r="A120" s="16"/>
    </row>
    <row r="121" spans="1:5" s="2" customFormat="1" ht="18.75" customHeight="1" x14ac:dyDescent="0.25">
      <c r="A121" s="168" t="s">
        <v>204</v>
      </c>
      <c r="B121" s="3" t="s">
        <v>625</v>
      </c>
      <c r="C121" s="20"/>
    </row>
    <row r="122" spans="1:5" s="2" customFormat="1" ht="18.75" customHeight="1" x14ac:dyDescent="0.25">
      <c r="A122" s="181" t="s">
        <v>1</v>
      </c>
      <c r="B122" s="2" t="s">
        <v>662</v>
      </c>
      <c r="C122" s="3"/>
    </row>
    <row r="123" spans="1:5" s="2" customFormat="1" ht="18.75" customHeight="1" x14ac:dyDescent="0.25">
      <c r="A123" s="16"/>
    </row>
    <row r="124" spans="1:5" s="2" customFormat="1" ht="18.75" customHeight="1" x14ac:dyDescent="0.25">
      <c r="A124" s="103" t="s">
        <v>458</v>
      </c>
      <c r="B124" s="104" t="s">
        <v>599</v>
      </c>
      <c r="C124" s="104" t="s">
        <v>600</v>
      </c>
      <c r="D124" s="104" t="s">
        <v>624</v>
      </c>
    </row>
    <row r="125" spans="1:5" s="2" customFormat="1" ht="18.75" customHeight="1" x14ac:dyDescent="0.25">
      <c r="A125" s="164" t="s">
        <v>621</v>
      </c>
      <c r="B125" s="88">
        <v>3.662420382165605E-2</v>
      </c>
      <c r="C125" s="88">
        <v>3.1847133757961785E-3</v>
      </c>
      <c r="D125" s="88">
        <v>4.0192926045016078E-2</v>
      </c>
    </row>
    <row r="126" spans="1:5" s="2" customFormat="1" ht="18.75" customHeight="1" x14ac:dyDescent="0.25">
      <c r="A126" s="164" t="s">
        <v>622</v>
      </c>
      <c r="B126" s="88">
        <v>8.7579617834394899E-2</v>
      </c>
      <c r="C126" s="88">
        <v>2.2292993630573247E-2</v>
      </c>
      <c r="D126" s="88">
        <v>0.11093247588424437</v>
      </c>
    </row>
    <row r="127" spans="1:5" s="2" customFormat="1" ht="18.75" customHeight="1" x14ac:dyDescent="0.25">
      <c r="A127" s="164" t="s">
        <v>623</v>
      </c>
      <c r="B127" s="88">
        <v>3.662420382165605E-2</v>
      </c>
      <c r="C127" s="88">
        <v>1.751592356687898E-2</v>
      </c>
      <c r="D127" s="88">
        <v>5.4662379421221867E-2</v>
      </c>
    </row>
    <row r="128" spans="1:5" s="2" customFormat="1" ht="18.75" customHeight="1" x14ac:dyDescent="0.25">
      <c r="A128" s="164" t="s">
        <v>105</v>
      </c>
      <c r="B128" s="88">
        <v>0.3359872611464968</v>
      </c>
      <c r="C128" s="88">
        <v>0.15764331210191082</v>
      </c>
      <c r="D128" s="88">
        <v>0.49839228295819937</v>
      </c>
    </row>
    <row r="129" spans="1:4" s="2" customFormat="1" ht="18.75" customHeight="1" x14ac:dyDescent="0.25">
      <c r="A129" s="164" t="s">
        <v>106</v>
      </c>
      <c r="B129" s="88">
        <v>0.19585987261146498</v>
      </c>
      <c r="C129" s="88">
        <v>9.7133757961783446E-2</v>
      </c>
      <c r="D129" s="88">
        <v>0.29581993569131831</v>
      </c>
    </row>
    <row r="130" spans="1:4" s="2" customFormat="1" ht="18.75" customHeight="1" x14ac:dyDescent="0.25">
      <c r="A130" s="120" t="s">
        <v>4</v>
      </c>
      <c r="B130" s="107"/>
      <c r="C130" s="107"/>
      <c r="D130" s="105">
        <f>SUBTOTAL(109,Table31[Total (n=622)])</f>
        <v>1</v>
      </c>
    </row>
    <row r="131" spans="1:4" s="2" customFormat="1" ht="18.75" customHeight="1" x14ac:dyDescent="0.25">
      <c r="A131" s="16"/>
    </row>
    <row r="132" spans="1:4" s="2" customFormat="1" ht="18.75" customHeight="1" x14ac:dyDescent="0.25">
      <c r="A132" s="16"/>
    </row>
    <row r="133" spans="1:4" s="2" customFormat="1" ht="18.75" customHeight="1" x14ac:dyDescent="0.25">
      <c r="A133" s="168"/>
      <c r="B133" s="3"/>
    </row>
    <row r="134" spans="1:4" s="2" customFormat="1" ht="18.75" customHeight="1" x14ac:dyDescent="0.25">
      <c r="A134" s="168" t="s">
        <v>212</v>
      </c>
      <c r="B134" s="3" t="s">
        <v>626</v>
      </c>
      <c r="C134" s="20"/>
    </row>
    <row r="135" spans="1:4" s="2" customFormat="1" ht="18.75" customHeight="1" x14ac:dyDescent="0.25">
      <c r="A135" s="181" t="s">
        <v>1</v>
      </c>
      <c r="B135" s="2" t="s">
        <v>663</v>
      </c>
      <c r="C135" s="3"/>
      <c r="D135"/>
    </row>
    <row r="136" spans="1:4" s="2" customFormat="1" ht="18.75" customHeight="1" x14ac:dyDescent="0.25">
      <c r="A136" s="16"/>
      <c r="D136"/>
    </row>
    <row r="137" spans="1:4" s="2" customFormat="1" ht="18.75" customHeight="1" x14ac:dyDescent="0.25">
      <c r="A137" s="103" t="s">
        <v>523</v>
      </c>
      <c r="B137" s="104" t="s">
        <v>18</v>
      </c>
      <c r="C137" s="104" t="s">
        <v>619</v>
      </c>
      <c r="D137"/>
    </row>
    <row r="138" spans="1:4" s="2" customFormat="1" ht="18.75" customHeight="1" x14ac:dyDescent="0.25">
      <c r="A138" s="164" t="s">
        <v>21</v>
      </c>
      <c r="B138" s="108">
        <v>94</v>
      </c>
      <c r="C138" s="88">
        <f>Table3133[[#This Row],[Frequency]]/Table3133[[#Totals],[Frequency]]</f>
        <v>0.14968152866242038</v>
      </c>
      <c r="D138"/>
    </row>
    <row r="139" spans="1:4" s="2" customFormat="1" ht="18.75" customHeight="1" x14ac:dyDescent="0.25">
      <c r="A139" s="164" t="s">
        <v>22</v>
      </c>
      <c r="B139" s="108">
        <v>534</v>
      </c>
      <c r="C139" s="88">
        <f>Table3133[[#This Row],[Frequency]]/Table3133[[#Totals],[Frequency]]</f>
        <v>0.85031847133757965</v>
      </c>
      <c r="D139"/>
    </row>
    <row r="140" spans="1:4" s="2" customFormat="1" ht="18.75" customHeight="1" x14ac:dyDescent="0.25">
      <c r="A140" s="120"/>
      <c r="B140" s="107">
        <f>SUBTOTAL(109,Table3133[Frequency])</f>
        <v>628</v>
      </c>
      <c r="C140" s="105">
        <f>SUBTOTAL(109,Table3133[% total])</f>
        <v>1</v>
      </c>
      <c r="D140"/>
    </row>
    <row r="141" spans="1:4" s="2" customFormat="1" ht="18.75" customHeight="1" x14ac:dyDescent="0.25">
      <c r="A141" s="16"/>
      <c r="D141"/>
    </row>
    <row r="142" spans="1:4" s="2" customFormat="1" ht="18.75" customHeight="1" x14ac:dyDescent="0.25">
      <c r="A142" s="16"/>
      <c r="D142"/>
    </row>
    <row r="143" spans="1:4" s="2" customFormat="1" ht="18.75" customHeight="1" x14ac:dyDescent="0.25">
      <c r="A143" s="16"/>
    </row>
    <row r="144" spans="1:4" s="2" customFormat="1" ht="18.75" customHeight="1" x14ac:dyDescent="0.25">
      <c r="A144" s="168" t="s">
        <v>781</v>
      </c>
      <c r="B144" s="3" t="s">
        <v>626</v>
      </c>
    </row>
    <row r="145" spans="1:3" s="2" customFormat="1" ht="18.75" customHeight="1" x14ac:dyDescent="0.25">
      <c r="A145" s="181" t="s">
        <v>1</v>
      </c>
      <c r="B145" s="2" t="s">
        <v>664</v>
      </c>
    </row>
    <row r="146" spans="1:3" ht="14.25" x14ac:dyDescent="0.2"/>
    <row r="147" spans="1:3" ht="14.25" x14ac:dyDescent="0.2"/>
    <row r="148" spans="1:3" ht="36" x14ac:dyDescent="0.2">
      <c r="A148" s="162" t="s">
        <v>627</v>
      </c>
      <c r="B148" s="171">
        <v>13.419327731092437</v>
      </c>
      <c r="C148" s="155"/>
    </row>
    <row r="149" spans="1:3" ht="14.25" x14ac:dyDescent="0.2">
      <c r="B149" s="155"/>
      <c r="C149" s="155"/>
    </row>
    <row r="150" spans="1:3" ht="14.25" x14ac:dyDescent="0.2">
      <c r="B150" s="155"/>
      <c r="C150" s="155"/>
    </row>
    <row r="151" spans="1:3" ht="14.25" x14ac:dyDescent="0.2"/>
    <row r="152" spans="1:3" ht="14.25" x14ac:dyDescent="0.2"/>
    <row r="153" spans="1:3" ht="18" x14ac:dyDescent="0.25">
      <c r="A153" s="168" t="s">
        <v>782</v>
      </c>
      <c r="B153" s="3" t="s">
        <v>628</v>
      </c>
      <c r="C153" s="2"/>
    </row>
    <row r="154" spans="1:3" ht="18" x14ac:dyDescent="0.25">
      <c r="A154" s="181" t="s">
        <v>1</v>
      </c>
      <c r="B154" s="2" t="s">
        <v>664</v>
      </c>
      <c r="C154" s="2"/>
    </row>
    <row r="155" spans="1:3" ht="14.25" x14ac:dyDescent="0.2"/>
    <row r="156" spans="1:3" ht="14.25" x14ac:dyDescent="0.2"/>
    <row r="157" spans="1:3" ht="18" x14ac:dyDescent="0.2">
      <c r="A157" s="170" t="s">
        <v>635</v>
      </c>
      <c r="B157" s="198" t="s">
        <v>18</v>
      </c>
      <c r="C157" s="109" t="s">
        <v>619</v>
      </c>
    </row>
    <row r="158" spans="1:3" ht="40.5" customHeight="1" x14ac:dyDescent="0.2">
      <c r="A158" s="113" t="s">
        <v>629</v>
      </c>
      <c r="B158" s="111">
        <v>2</v>
      </c>
      <c r="C158" s="110">
        <f>Table34[[#This Row],[Frequency]]/Table34[[#Totals],[Frequency]]</f>
        <v>2.2727272727272728E-2</v>
      </c>
    </row>
    <row r="159" spans="1:3" ht="18" x14ac:dyDescent="0.2">
      <c r="A159" s="113" t="s">
        <v>630</v>
      </c>
      <c r="B159" s="111">
        <v>12</v>
      </c>
      <c r="C159" s="110">
        <f>Table34[[#This Row],[Frequency]]/Table34[[#Totals],[Frequency]]</f>
        <v>0.13636363636363635</v>
      </c>
    </row>
    <row r="160" spans="1:3" ht="18" x14ac:dyDescent="0.2">
      <c r="A160" s="113" t="s">
        <v>631</v>
      </c>
      <c r="B160" s="111">
        <v>1</v>
      </c>
      <c r="C160" s="110">
        <f>Table34[[#This Row],[Frequency]]/Table34[[#Totals],[Frequency]]</f>
        <v>1.1363636363636364E-2</v>
      </c>
    </row>
    <row r="161" spans="1:3" ht="45.75" customHeight="1" x14ac:dyDescent="0.2">
      <c r="A161" s="113" t="s">
        <v>632</v>
      </c>
      <c r="B161" s="111">
        <v>9</v>
      </c>
      <c r="C161" s="110">
        <f>Table34[[#This Row],[Frequency]]/Table34[[#Totals],[Frequency]]</f>
        <v>0.10227272727272728</v>
      </c>
    </row>
    <row r="162" spans="1:3" ht="18.75" customHeight="1" x14ac:dyDescent="0.2">
      <c r="A162" s="113" t="s">
        <v>41</v>
      </c>
      <c r="B162" s="111">
        <v>53</v>
      </c>
      <c r="C162" s="110">
        <f>Table34[[#This Row],[Frequency]]/Table34[[#Totals],[Frequency]]</f>
        <v>0.60227272727272729</v>
      </c>
    </row>
    <row r="163" spans="1:3" ht="18.75" customHeight="1" x14ac:dyDescent="0.2">
      <c r="A163" s="113" t="s">
        <v>633</v>
      </c>
      <c r="B163" s="111">
        <v>1</v>
      </c>
      <c r="C163" s="110">
        <f>Table34[[#This Row],[Frequency]]/Table34[[#Totals],[Frequency]]</f>
        <v>1.1363636363636364E-2</v>
      </c>
    </row>
    <row r="164" spans="1:3" ht="18.75" customHeight="1" x14ac:dyDescent="0.2">
      <c r="A164" s="113" t="s">
        <v>634</v>
      </c>
      <c r="B164" s="111">
        <v>10</v>
      </c>
      <c r="C164" s="110">
        <f>Table34[[#This Row],[Frequency]]/Table34[[#Totals],[Frequency]]</f>
        <v>0.11363636363636363</v>
      </c>
    </row>
    <row r="165" spans="1:3" ht="18.75" customHeight="1" x14ac:dyDescent="0.2">
      <c r="A165" s="113" t="s">
        <v>4</v>
      </c>
      <c r="B165" s="111">
        <f>SUBTOTAL(109,Table34[Frequency])</f>
        <v>88</v>
      </c>
      <c r="C165" s="110">
        <f>SUBTOTAL(109,Table34[% total])</f>
        <v>1</v>
      </c>
    </row>
    <row r="166" spans="1:3" ht="18.75" customHeight="1" x14ac:dyDescent="0.2">
      <c r="B166" s="112"/>
    </row>
  </sheetData>
  <mergeCells count="1">
    <mergeCell ref="A1:H1"/>
  </mergeCell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Header>&amp;C2013 Victorian AOD Workforce Survey aggregate  report</oddHeader>
    <oddFooter>&amp;A</oddFooter>
  </headerFooter>
  <rowBreaks count="2" manualBreakCount="2">
    <brk id="86" max="7" man="1"/>
    <brk id="130" max="7" man="1"/>
  </rowBreaks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0"/>
  <sheetViews>
    <sheetView zoomScale="75" zoomScaleNormal="75" zoomScaleSheetLayoutView="75" workbookViewId="0">
      <selection sqref="A1:H1"/>
    </sheetView>
  </sheetViews>
  <sheetFormatPr defaultRowHeight="18.75" customHeight="1" x14ac:dyDescent="0.2"/>
  <cols>
    <col min="1" max="1" width="47.296875" style="6" customWidth="1"/>
    <col min="2" max="2" width="42.5" style="6" customWidth="1"/>
    <col min="3" max="3" width="23.19921875" style="6" customWidth="1"/>
    <col min="4" max="4" width="24.3984375" style="6" bestFit="1" customWidth="1"/>
    <col min="5" max="5" width="21" style="6" bestFit="1" customWidth="1"/>
    <col min="6" max="6" width="17.796875" style="6" customWidth="1"/>
    <col min="7" max="7" width="8" style="6" customWidth="1"/>
    <col min="8" max="8" width="14.296875" style="6" customWidth="1"/>
    <col min="9" max="10" width="9.59765625" style="6" customWidth="1"/>
    <col min="11" max="11" width="3.69921875" style="6" customWidth="1"/>
    <col min="12" max="12" width="9.59765625" style="6" customWidth="1"/>
    <col min="13" max="13" width="8.796875" style="6" customWidth="1"/>
    <col min="14" max="15" width="11.796875" style="6" customWidth="1"/>
    <col min="16" max="16" width="3.69921875" style="6" customWidth="1"/>
    <col min="17" max="17" width="17.69921875" style="6" customWidth="1"/>
    <col min="18" max="18" width="18.296875" style="6" customWidth="1"/>
    <col min="19" max="19" width="12.59765625" style="6" customWidth="1"/>
    <col min="20" max="20" width="11.796875" style="6" customWidth="1"/>
    <col min="21" max="16384" width="8.796875" style="6"/>
  </cols>
  <sheetData>
    <row r="1" spans="1:20" s="33" customFormat="1" ht="55.5" customHeight="1" x14ac:dyDescent="0.2">
      <c r="A1" s="244" t="s">
        <v>922</v>
      </c>
      <c r="B1" s="244"/>
      <c r="C1" s="244"/>
      <c r="D1" s="244"/>
      <c r="E1" s="244"/>
      <c r="F1" s="244"/>
      <c r="G1" s="244"/>
      <c r="H1" s="244"/>
    </row>
    <row r="2" spans="1:20" s="2" customFormat="1" ht="18.75" customHeight="1" x14ac:dyDescent="0.25"/>
    <row r="3" spans="1:20" s="3" customFormat="1" ht="18.75" customHeight="1" x14ac:dyDescent="0.25">
      <c r="A3" s="3" t="s">
        <v>30</v>
      </c>
      <c r="B3" s="3" t="s">
        <v>935</v>
      </c>
    </row>
    <row r="4" spans="1:20" s="2" customFormat="1" ht="18.75" customHeight="1" x14ac:dyDescent="0.25">
      <c r="A4" s="4" t="s">
        <v>1</v>
      </c>
      <c r="B4" s="2" t="s">
        <v>739</v>
      </c>
    </row>
    <row r="5" spans="1:20" s="2" customFormat="1" ht="18.75" customHeight="1" x14ac:dyDescent="0.25">
      <c r="A5" s="4"/>
    </row>
    <row r="6" spans="1:20" s="2" customFormat="1" ht="36" x14ac:dyDescent="0.25">
      <c r="A6" s="87" t="s">
        <v>523</v>
      </c>
      <c r="B6" s="76" t="s">
        <v>636</v>
      </c>
      <c r="C6" s="76" t="s">
        <v>637</v>
      </c>
      <c r="D6" s="76" t="s">
        <v>638</v>
      </c>
      <c r="E6" s="76" t="s">
        <v>639</v>
      </c>
      <c r="M6"/>
      <c r="N6"/>
      <c r="O6"/>
      <c r="P6"/>
      <c r="Q6"/>
      <c r="R6"/>
      <c r="S6"/>
      <c r="T6"/>
    </row>
    <row r="7" spans="1:20" s="2" customFormat="1" ht="18" x14ac:dyDescent="0.25">
      <c r="A7" s="74" t="s">
        <v>937</v>
      </c>
      <c r="B7" s="72">
        <v>0.33801713957321577</v>
      </c>
      <c r="C7" s="72">
        <v>0.28429043650943275</v>
      </c>
      <c r="D7" s="72">
        <v>0</v>
      </c>
      <c r="E7" s="81">
        <v>0.31887547846188635</v>
      </c>
      <c r="M7"/>
      <c r="N7"/>
      <c r="O7"/>
      <c r="P7"/>
      <c r="Q7"/>
      <c r="R7"/>
      <c r="S7"/>
      <c r="T7"/>
    </row>
    <row r="8" spans="1:20" s="2" customFormat="1" ht="18" x14ac:dyDescent="0.25">
      <c r="A8" s="74" t="s">
        <v>21</v>
      </c>
      <c r="B8" s="72">
        <v>0.66198286042678423</v>
      </c>
      <c r="C8" s="72">
        <v>0.71570956349056725</v>
      </c>
      <c r="D8" s="72">
        <v>1</v>
      </c>
      <c r="E8" s="81">
        <v>0.68112452153811365</v>
      </c>
      <c r="M8"/>
      <c r="N8"/>
      <c r="O8"/>
      <c r="P8"/>
      <c r="Q8"/>
      <c r="R8"/>
      <c r="S8"/>
      <c r="T8"/>
    </row>
    <row r="9" spans="1:20" s="2" customFormat="1" ht="18" x14ac:dyDescent="0.25">
      <c r="A9" s="1" t="s">
        <v>4</v>
      </c>
      <c r="B9" s="102">
        <f>SUBTOTAL(109,Table35[Metro (n=404)])</f>
        <v>1</v>
      </c>
      <c r="C9" s="102">
        <f>SUBTOTAL(109,Table35[Rural (n=174)])</f>
        <v>1</v>
      </c>
      <c r="D9" s="102">
        <f>SUBTOTAL(109,Table35[Unknown location (n=5)])</f>
        <v>1</v>
      </c>
      <c r="E9" s="102">
        <f>SUBTOTAL(109,Table35[Total (n=583)])</f>
        <v>1</v>
      </c>
      <c r="F9"/>
      <c r="G9"/>
      <c r="H9"/>
      <c r="I9"/>
      <c r="J9"/>
      <c r="M9"/>
      <c r="N9"/>
      <c r="O9"/>
      <c r="P9"/>
      <c r="Q9"/>
      <c r="R9"/>
      <c r="S9"/>
      <c r="T9"/>
    </row>
    <row r="10" spans="1:20" s="2" customFormat="1" ht="18" x14ac:dyDescent="0.25">
      <c r="A10" s="6"/>
      <c r="B10" s="6"/>
      <c r="C10" s="6"/>
      <c r="D10" s="6"/>
      <c r="E10" s="6"/>
      <c r="M10"/>
      <c r="N10"/>
      <c r="O10"/>
      <c r="P10"/>
      <c r="Q10"/>
      <c r="R10"/>
      <c r="S10"/>
      <c r="T10"/>
    </row>
    <row r="11" spans="1:20" s="2" customFormat="1" ht="18.75" customHeight="1" x14ac:dyDescent="0.25">
      <c r="A11" s="6"/>
      <c r="B11" s="6"/>
      <c r="C11" s="6"/>
      <c r="D11" s="6"/>
    </row>
    <row r="12" spans="1:20" s="2" customFormat="1" ht="18.75" customHeight="1" x14ac:dyDescent="0.25">
      <c r="A12" s="6"/>
      <c r="B12" s="6"/>
      <c r="C12" s="6"/>
      <c r="D12" s="6"/>
    </row>
    <row r="13" spans="1:20" s="2" customFormat="1" ht="18.75" customHeight="1" x14ac:dyDescent="0.25">
      <c r="A13" s="3" t="s">
        <v>31</v>
      </c>
      <c r="B13" s="3" t="s">
        <v>936</v>
      </c>
      <c r="C13" s="6"/>
      <c r="D13" s="6"/>
    </row>
    <row r="14" spans="1:20" s="2" customFormat="1" ht="18.75" customHeight="1" x14ac:dyDescent="0.25">
      <c r="A14" s="4" t="s">
        <v>1</v>
      </c>
      <c r="B14" s="2" t="s">
        <v>740</v>
      </c>
      <c r="C14" s="6"/>
      <c r="D14" s="6"/>
    </row>
    <row r="15" spans="1:20" s="2" customFormat="1" ht="18.75" customHeight="1" x14ac:dyDescent="0.25">
      <c r="A15" s="4"/>
      <c r="C15" s="6"/>
      <c r="D15" s="6"/>
      <c r="E15" s="6"/>
    </row>
    <row r="16" spans="1:20" s="2" customFormat="1" ht="18.75" customHeight="1" x14ac:dyDescent="0.25">
      <c r="A16" s="87" t="s">
        <v>196</v>
      </c>
      <c r="B16" s="87" t="s">
        <v>3</v>
      </c>
      <c r="C16" s="87" t="s">
        <v>2</v>
      </c>
      <c r="D16" s="87" t="s">
        <v>140</v>
      </c>
      <c r="E16" s="87" t="s">
        <v>4</v>
      </c>
      <c r="F16" s="87" t="s">
        <v>903</v>
      </c>
    </row>
    <row r="17" spans="1:13" s="2" customFormat="1" ht="18.75" customHeight="1" x14ac:dyDescent="0.25">
      <c r="A17" s="74" t="s">
        <v>191</v>
      </c>
      <c r="B17" s="115">
        <v>3</v>
      </c>
      <c r="C17" s="115">
        <v>2</v>
      </c>
      <c r="D17" s="115" t="s">
        <v>121</v>
      </c>
      <c r="E17" s="115">
        <v>5</v>
      </c>
      <c r="F17" s="77">
        <f>Table36[[#This Row],[Total]]/Table36[[#Totals],[Total]]</f>
        <v>1.2562814070351759E-2</v>
      </c>
    </row>
    <row r="18" spans="1:13" s="2" customFormat="1" ht="18.75" customHeight="1" x14ac:dyDescent="0.25">
      <c r="A18" s="74" t="s">
        <v>27</v>
      </c>
      <c r="B18" s="115">
        <v>90</v>
      </c>
      <c r="C18" s="115">
        <v>47</v>
      </c>
      <c r="D18" s="115">
        <v>3</v>
      </c>
      <c r="E18" s="115">
        <v>140</v>
      </c>
      <c r="F18" s="77">
        <f>Table36[[#This Row],[Total]]/Table36[[#Totals],[Total]]</f>
        <v>0.35175879396984927</v>
      </c>
    </row>
    <row r="19" spans="1:13" s="2" customFormat="1" ht="18.75" customHeight="1" x14ac:dyDescent="0.25">
      <c r="A19" s="74" t="s">
        <v>192</v>
      </c>
      <c r="B19" s="115">
        <v>79</v>
      </c>
      <c r="C19" s="115">
        <v>48</v>
      </c>
      <c r="D19" s="115">
        <v>2</v>
      </c>
      <c r="E19" s="115">
        <v>129</v>
      </c>
      <c r="F19" s="77">
        <f>Table36[[#This Row],[Total]]/Table36[[#Totals],[Total]]</f>
        <v>0.32412060301507539</v>
      </c>
    </row>
    <row r="20" spans="1:13" s="2" customFormat="1" ht="18.75" customHeight="1" x14ac:dyDescent="0.25">
      <c r="A20" s="74" t="s">
        <v>190</v>
      </c>
      <c r="B20" s="115">
        <v>6</v>
      </c>
      <c r="C20" s="115">
        <v>2</v>
      </c>
      <c r="D20" s="115" t="s">
        <v>121</v>
      </c>
      <c r="E20" s="115">
        <v>8</v>
      </c>
      <c r="F20" s="77">
        <f>Table36[[#This Row],[Total]]/Table36[[#Totals],[Total]]</f>
        <v>2.0100502512562814E-2</v>
      </c>
      <c r="M20" s="114"/>
    </row>
    <row r="21" spans="1:13" s="2" customFormat="1" ht="18.75" customHeight="1" x14ac:dyDescent="0.25">
      <c r="A21" s="74" t="s">
        <v>193</v>
      </c>
      <c r="B21" s="115">
        <v>38</v>
      </c>
      <c r="C21" s="115">
        <v>12</v>
      </c>
      <c r="D21" s="115" t="s">
        <v>121</v>
      </c>
      <c r="E21" s="115">
        <v>50</v>
      </c>
      <c r="F21" s="77">
        <f>Table36[[#This Row],[Total]]/Table36[[#Totals],[Total]]</f>
        <v>0.12562814070351758</v>
      </c>
      <c r="M21" s="114"/>
    </row>
    <row r="22" spans="1:13" s="2" customFormat="1" ht="18.75" customHeight="1" x14ac:dyDescent="0.25">
      <c r="A22" s="74" t="s">
        <v>194</v>
      </c>
      <c r="B22" s="115">
        <v>26</v>
      </c>
      <c r="C22" s="115">
        <v>10</v>
      </c>
      <c r="D22" s="115" t="s">
        <v>121</v>
      </c>
      <c r="E22" s="115">
        <v>36</v>
      </c>
      <c r="F22" s="77">
        <f>Table36[[#This Row],[Total]]/Table36[[#Totals],[Total]]</f>
        <v>9.0452261306532666E-2</v>
      </c>
      <c r="M22" s="114"/>
    </row>
    <row r="23" spans="1:13" s="2" customFormat="1" ht="18.75" customHeight="1" x14ac:dyDescent="0.25">
      <c r="A23" s="74" t="s">
        <v>195</v>
      </c>
      <c r="B23" s="115">
        <v>3</v>
      </c>
      <c r="C23" s="115" t="s">
        <v>121</v>
      </c>
      <c r="D23" s="115" t="s">
        <v>121</v>
      </c>
      <c r="E23" s="115">
        <v>3</v>
      </c>
      <c r="F23" s="77">
        <f>Table36[[#This Row],[Total]]/Table36[[#Totals],[Total]]</f>
        <v>7.537688442211055E-3</v>
      </c>
    </row>
    <row r="24" spans="1:13" s="2" customFormat="1" ht="18.75" customHeight="1" x14ac:dyDescent="0.25">
      <c r="A24" s="74" t="s">
        <v>41</v>
      </c>
      <c r="B24" s="115">
        <v>20</v>
      </c>
      <c r="C24" s="115">
        <v>7</v>
      </c>
      <c r="D24" s="115" t="s">
        <v>121</v>
      </c>
      <c r="E24" s="115">
        <v>27</v>
      </c>
      <c r="F24" s="77">
        <f>Table36[[#This Row],[Total]]/Table36[[#Totals],[Total]]</f>
        <v>6.78391959798995E-2</v>
      </c>
    </row>
    <row r="25" spans="1:13" s="2" customFormat="1" ht="18.75" customHeight="1" x14ac:dyDescent="0.25">
      <c r="A25" s="1" t="s">
        <v>4</v>
      </c>
      <c r="B25" s="98">
        <f>SUBTOTAL(109,Table36[Metro])</f>
        <v>265</v>
      </c>
      <c r="C25" s="98">
        <f>SUBTOTAL(109,Table36[Rural])</f>
        <v>128</v>
      </c>
      <c r="D25" s="98">
        <f>SUBTOTAL(109,Table36[Unknown])</f>
        <v>5</v>
      </c>
      <c r="E25" s="98">
        <f>SUBTOTAL(109,Table36[Total])</f>
        <v>398</v>
      </c>
      <c r="F25" s="116">
        <f>SUBTOTAL(109,Table36[%  total])</f>
        <v>1</v>
      </c>
    </row>
    <row r="26" spans="1:13" s="2" customFormat="1" ht="18.75" customHeight="1" x14ac:dyDescent="0.25">
      <c r="A26" s="1"/>
      <c r="B26" s="98"/>
      <c r="C26" s="98"/>
      <c r="D26" s="98"/>
      <c r="E26" s="98"/>
      <c r="F26" s="116"/>
    </row>
    <row r="27" spans="1:13" s="2" customFormat="1" ht="18.75" customHeight="1" x14ac:dyDescent="0.25">
      <c r="A27" s="6"/>
      <c r="B27" s="6"/>
      <c r="C27" s="6"/>
      <c r="D27" s="6"/>
      <c r="E27" s="6"/>
    </row>
    <row r="28" spans="1:13" s="2" customFormat="1" ht="18.75" customHeight="1" x14ac:dyDescent="0.25">
      <c r="A28" s="6"/>
      <c r="B28" s="6"/>
      <c r="C28" s="6"/>
      <c r="D28" s="6"/>
      <c r="E28" s="6"/>
    </row>
    <row r="29" spans="1:13" s="2" customFormat="1" ht="18.75" customHeight="1" x14ac:dyDescent="0.25">
      <c r="A29" s="3" t="s">
        <v>644</v>
      </c>
      <c r="B29" s="3" t="s">
        <v>938</v>
      </c>
      <c r="C29" s="6"/>
      <c r="D29" s="6"/>
      <c r="E29" s="6"/>
    </row>
    <row r="30" spans="1:13" s="2" customFormat="1" ht="18.75" customHeight="1" x14ac:dyDescent="0.25">
      <c r="A30" s="4" t="s">
        <v>1</v>
      </c>
      <c r="B30" s="2" t="s">
        <v>741</v>
      </c>
      <c r="C30" s="6"/>
      <c r="D30" s="6"/>
      <c r="E30" s="6"/>
    </row>
    <row r="31" spans="1:13" s="2" customFormat="1" ht="18.75" customHeight="1" x14ac:dyDescent="0.25">
      <c r="A31" s="6"/>
      <c r="B31" s="6"/>
      <c r="C31" s="6"/>
      <c r="D31" s="6"/>
      <c r="E31" s="6"/>
    </row>
    <row r="32" spans="1:13" s="3" customFormat="1" ht="36.75" customHeight="1" x14ac:dyDescent="0.25">
      <c r="A32" s="163" t="s">
        <v>892</v>
      </c>
      <c r="B32" s="78" t="s">
        <v>200</v>
      </c>
      <c r="C32" s="2"/>
      <c r="D32" s="2"/>
      <c r="E32" s="2"/>
      <c r="F32" s="2"/>
    </row>
    <row r="33" spans="1:6" s="2" customFormat="1" ht="18.75" customHeight="1" x14ac:dyDescent="0.25">
      <c r="F33" s="3"/>
    </row>
    <row r="34" spans="1:6" s="2" customFormat="1" ht="18.75" customHeight="1" x14ac:dyDescent="0.25">
      <c r="F34" s="3"/>
    </row>
    <row r="35" spans="1:6" s="2" customFormat="1" ht="18.75" customHeight="1" x14ac:dyDescent="0.25">
      <c r="F35" s="3"/>
    </row>
    <row r="36" spans="1:6" s="2" customFormat="1" ht="18.75" customHeight="1" x14ac:dyDescent="0.25">
      <c r="A36" s="3" t="s">
        <v>645</v>
      </c>
      <c r="B36" s="3" t="s">
        <v>939</v>
      </c>
      <c r="C36" s="3"/>
      <c r="D36" s="3"/>
      <c r="E36" s="3"/>
    </row>
    <row r="37" spans="1:6" s="2" customFormat="1" ht="18.75" customHeight="1" x14ac:dyDescent="0.25">
      <c r="A37" s="4" t="s">
        <v>1</v>
      </c>
      <c r="B37" s="2" t="s">
        <v>742</v>
      </c>
    </row>
    <row r="38" spans="1:6" s="2" customFormat="1" ht="18.75" customHeight="1" x14ac:dyDescent="0.25">
      <c r="A38" s="4"/>
    </row>
    <row r="39" spans="1:6" s="2" customFormat="1" ht="18.75" customHeight="1" x14ac:dyDescent="0.25">
      <c r="A39" s="87" t="s">
        <v>597</v>
      </c>
      <c r="B39" s="87" t="s">
        <v>18</v>
      </c>
      <c r="C39" s="87" t="s">
        <v>619</v>
      </c>
    </row>
    <row r="40" spans="1:6" s="2" customFormat="1" ht="18.75" customHeight="1" x14ac:dyDescent="0.25">
      <c r="A40" s="74" t="s">
        <v>197</v>
      </c>
      <c r="B40" s="115">
        <v>380</v>
      </c>
      <c r="C40" s="77">
        <f>Table37[[#This Row],[Frequency]]/Table37[[#Totals],[Frequency]]</f>
        <v>0.95477386934673369</v>
      </c>
    </row>
    <row r="41" spans="1:6" s="2" customFormat="1" ht="18.75" customHeight="1" x14ac:dyDescent="0.25">
      <c r="A41" s="74" t="s">
        <v>198</v>
      </c>
      <c r="B41" s="115">
        <v>7</v>
      </c>
      <c r="C41" s="77">
        <f>Table37[[#This Row],[Frequency]]/Table37[[#Totals],[Frequency]]</f>
        <v>1.7587939698492462E-2</v>
      </c>
    </row>
    <row r="42" spans="1:6" s="2" customFormat="1" ht="18.75" customHeight="1" x14ac:dyDescent="0.25">
      <c r="A42" s="74" t="s">
        <v>140</v>
      </c>
      <c r="B42" s="115">
        <v>11</v>
      </c>
      <c r="C42" s="77">
        <f>Table37[[#This Row],[Frequency]]/Table37[[#Totals],[Frequency]]</f>
        <v>2.7638190954773871E-2</v>
      </c>
    </row>
    <row r="43" spans="1:6" s="2" customFormat="1" ht="18.75" customHeight="1" x14ac:dyDescent="0.25">
      <c r="A43" s="1" t="s">
        <v>4</v>
      </c>
      <c r="B43" s="98">
        <f>SUBTOTAL(109,Table37[Frequency])</f>
        <v>398</v>
      </c>
      <c r="C43" s="79">
        <f>SUBTOTAL(109,Table37[% total])</f>
        <v>1</v>
      </c>
    </row>
    <row r="44" spans="1:6" s="2" customFormat="1" ht="18.75" customHeight="1" x14ac:dyDescent="0.25">
      <c r="A44"/>
      <c r="B44"/>
      <c r="C44"/>
    </row>
    <row r="45" spans="1:6" s="2" customFormat="1" ht="18.75" customHeight="1" x14ac:dyDescent="0.25">
      <c r="A45"/>
      <c r="B45"/>
      <c r="C45"/>
    </row>
    <row r="46" spans="1:6" s="2" customFormat="1" ht="18.75" customHeight="1" x14ac:dyDescent="0.25">
      <c r="A46" s="4"/>
    </row>
    <row r="47" spans="1:6" s="2" customFormat="1" ht="18.75" customHeight="1" x14ac:dyDescent="0.25">
      <c r="A47" s="3" t="s">
        <v>646</v>
      </c>
      <c r="B47" s="3" t="s">
        <v>942</v>
      </c>
    </row>
    <row r="48" spans="1:6" s="2" customFormat="1" ht="18.75" customHeight="1" x14ac:dyDescent="0.25">
      <c r="A48" s="4" t="s">
        <v>1</v>
      </c>
      <c r="B48" s="2" t="s">
        <v>940</v>
      </c>
    </row>
    <row r="49" spans="1:13" s="2" customFormat="1" ht="18.75" customHeight="1" x14ac:dyDescent="0.25">
      <c r="A49" s="4"/>
      <c r="G49"/>
      <c r="H49"/>
      <c r="I49"/>
      <c r="J49"/>
      <c r="K49"/>
      <c r="L49"/>
      <c r="M49"/>
    </row>
    <row r="50" spans="1:13" s="2" customFormat="1" ht="38.25" customHeight="1" x14ac:dyDescent="0.25">
      <c r="A50" s="73" t="s">
        <v>640</v>
      </c>
      <c r="B50" s="75" t="s">
        <v>3</v>
      </c>
      <c r="C50" s="75" t="s">
        <v>2</v>
      </c>
      <c r="D50" s="75" t="s">
        <v>4</v>
      </c>
      <c r="E50" s="75" t="s">
        <v>848</v>
      </c>
      <c r="F50" s="75"/>
      <c r="G50"/>
      <c r="H50"/>
      <c r="I50"/>
      <c r="J50"/>
      <c r="K50"/>
      <c r="L50"/>
      <c r="M50"/>
    </row>
    <row r="51" spans="1:13" s="2" customFormat="1" ht="18.75" customHeight="1" x14ac:dyDescent="0.25">
      <c r="A51" s="117" t="s">
        <v>199</v>
      </c>
      <c r="B51" s="71">
        <v>1</v>
      </c>
      <c r="C51" s="71">
        <v>1</v>
      </c>
      <c r="D51" s="71">
        <v>2</v>
      </c>
      <c r="E51" s="77">
        <f>Table38[[#This Row],[Total]]/Table38[[#Totals],[Total]]</f>
        <v>2.1276595744680851E-2</v>
      </c>
      <c r="F51" s="71"/>
      <c r="G51"/>
      <c r="H51"/>
      <c r="I51"/>
      <c r="J51"/>
      <c r="K51"/>
      <c r="L51"/>
      <c r="M51"/>
    </row>
    <row r="52" spans="1:13" s="2" customFormat="1" ht="18.75" customHeight="1" x14ac:dyDescent="0.25">
      <c r="A52" s="117" t="s">
        <v>191</v>
      </c>
      <c r="B52" s="71" t="s">
        <v>121</v>
      </c>
      <c r="C52" s="71">
        <v>1</v>
      </c>
      <c r="D52" s="71">
        <v>1</v>
      </c>
      <c r="E52" s="77">
        <f>Table38[[#This Row],[Total]]/Table38[[#Totals],[Total]]</f>
        <v>1.0638297872340425E-2</v>
      </c>
      <c r="F52" s="71"/>
      <c r="G52"/>
      <c r="H52"/>
      <c r="I52"/>
      <c r="J52"/>
      <c r="K52"/>
      <c r="L52"/>
      <c r="M52"/>
    </row>
    <row r="53" spans="1:13" s="2" customFormat="1" ht="18.75" customHeight="1" x14ac:dyDescent="0.25">
      <c r="A53" s="117" t="s">
        <v>27</v>
      </c>
      <c r="B53" s="71">
        <v>13</v>
      </c>
      <c r="C53" s="71">
        <v>13</v>
      </c>
      <c r="D53" s="71">
        <v>26</v>
      </c>
      <c r="E53" s="77">
        <f>Table38[[#This Row],[Total]]/Table38[[#Totals],[Total]]</f>
        <v>0.27659574468085107</v>
      </c>
      <c r="F53" s="71"/>
      <c r="G53"/>
      <c r="H53"/>
      <c r="I53"/>
      <c r="J53"/>
      <c r="K53"/>
      <c r="L53"/>
      <c r="M53"/>
    </row>
    <row r="54" spans="1:13" s="2" customFormat="1" ht="18.75" customHeight="1" x14ac:dyDescent="0.25">
      <c r="A54" s="117" t="s">
        <v>190</v>
      </c>
      <c r="B54" s="71">
        <v>1</v>
      </c>
      <c r="C54" s="71">
        <v>2</v>
      </c>
      <c r="D54" s="71">
        <v>3</v>
      </c>
      <c r="E54" s="77">
        <f>Table38[[#This Row],[Total]]/Table38[[#Totals],[Total]]</f>
        <v>3.1914893617021274E-2</v>
      </c>
      <c r="F54" s="71"/>
      <c r="G54"/>
      <c r="H54"/>
      <c r="I54"/>
      <c r="J54"/>
      <c r="K54"/>
      <c r="L54"/>
      <c r="M54"/>
    </row>
    <row r="55" spans="1:13" s="2" customFormat="1" ht="18.75" customHeight="1" x14ac:dyDescent="0.25">
      <c r="A55" s="117" t="s">
        <v>192</v>
      </c>
      <c r="B55" s="71">
        <v>16</v>
      </c>
      <c r="C55" s="71">
        <v>16</v>
      </c>
      <c r="D55" s="71">
        <v>32</v>
      </c>
      <c r="E55" s="77">
        <f>Table38[[#This Row],[Total]]/Table38[[#Totals],[Total]]</f>
        <v>0.34042553191489361</v>
      </c>
      <c r="F55" s="71"/>
      <c r="G55"/>
      <c r="H55"/>
      <c r="I55"/>
      <c r="J55"/>
      <c r="K55"/>
      <c r="L55"/>
      <c r="M55"/>
    </row>
    <row r="56" spans="1:13" s="2" customFormat="1" ht="18.75" customHeight="1" x14ac:dyDescent="0.25">
      <c r="A56" s="117" t="s">
        <v>193</v>
      </c>
      <c r="B56" s="71">
        <v>6</v>
      </c>
      <c r="C56" s="71" t="s">
        <v>121</v>
      </c>
      <c r="D56" s="71">
        <v>6</v>
      </c>
      <c r="E56" s="77">
        <f>Table38[[#This Row],[Total]]/Table38[[#Totals],[Total]]</f>
        <v>6.3829787234042548E-2</v>
      </c>
      <c r="F56" s="71"/>
      <c r="G56"/>
      <c r="H56"/>
      <c r="I56"/>
      <c r="J56"/>
      <c r="K56"/>
      <c r="L56"/>
      <c r="M56"/>
    </row>
    <row r="57" spans="1:13" s="2" customFormat="1" ht="18.75" customHeight="1" x14ac:dyDescent="0.25">
      <c r="A57" s="117" t="s">
        <v>194</v>
      </c>
      <c r="B57" s="71">
        <v>7</v>
      </c>
      <c r="C57" s="71">
        <v>3</v>
      </c>
      <c r="D57" s="71">
        <v>10</v>
      </c>
      <c r="E57" s="77">
        <f>Table38[[#This Row],[Total]]/Table38[[#Totals],[Total]]</f>
        <v>0.10638297872340426</v>
      </c>
      <c r="F57" s="71"/>
      <c r="G57"/>
      <c r="H57"/>
      <c r="I57"/>
      <c r="J57"/>
      <c r="K57"/>
      <c r="L57"/>
      <c r="M57"/>
    </row>
    <row r="58" spans="1:13" s="2" customFormat="1" ht="18.75" customHeight="1" x14ac:dyDescent="0.25">
      <c r="A58" s="117" t="s">
        <v>140</v>
      </c>
      <c r="B58" s="71">
        <v>10</v>
      </c>
      <c r="C58" s="71">
        <v>4</v>
      </c>
      <c r="D58" s="71">
        <v>14</v>
      </c>
      <c r="E58" s="77">
        <f>Table38[[#This Row],[Total]]/Table38[[#Totals],[Total]]</f>
        <v>0.14893617021276595</v>
      </c>
      <c r="F58" s="71"/>
      <c r="G58"/>
      <c r="H58"/>
      <c r="I58"/>
      <c r="J58"/>
      <c r="K58"/>
      <c r="L58"/>
      <c r="M58"/>
    </row>
    <row r="59" spans="1:13" s="2" customFormat="1" ht="18.75" customHeight="1" x14ac:dyDescent="0.25">
      <c r="A59" s="199" t="s">
        <v>4</v>
      </c>
      <c r="B59" s="200">
        <f>SUBTOTAL(109,Table38[Metro])</f>
        <v>54</v>
      </c>
      <c r="C59" s="200">
        <f>SUBTOTAL(109,Table38[Rural])</f>
        <v>40</v>
      </c>
      <c r="D59" s="200">
        <f>SUBTOTAL(109,Table38[Total])</f>
        <v>94</v>
      </c>
      <c r="E59" s="201">
        <f>SUBTOTAL(109,Table38[% total (n=94)])</f>
        <v>1</v>
      </c>
      <c r="F59" s="200"/>
    </row>
    <row r="60" spans="1:13" s="2" customFormat="1" ht="18.75" customHeight="1" x14ac:dyDescent="0.25">
      <c r="A60" s="4"/>
    </row>
    <row r="61" spans="1:13" s="2" customFormat="1" ht="18.75" customHeight="1" x14ac:dyDescent="0.25">
      <c r="A61" s="4"/>
    </row>
    <row r="62" spans="1:13" s="2" customFormat="1" ht="18.75" customHeight="1" x14ac:dyDescent="0.25">
      <c r="A62" s="4"/>
      <c r="D62" s="6"/>
    </row>
    <row r="63" spans="1:13" s="2" customFormat="1" ht="18.75" customHeight="1" x14ac:dyDescent="0.25">
      <c r="A63" s="3" t="s">
        <v>647</v>
      </c>
      <c r="B63" s="3" t="s">
        <v>943</v>
      </c>
      <c r="C63" s="6"/>
      <c r="D63" s="6"/>
    </row>
    <row r="64" spans="1:13" s="2" customFormat="1" ht="18.75" customHeight="1" x14ac:dyDescent="0.25">
      <c r="A64" s="4" t="s">
        <v>1</v>
      </c>
      <c r="B64" s="2" t="s">
        <v>743</v>
      </c>
      <c r="C64" s="6"/>
      <c r="D64" s="6"/>
    </row>
    <row r="65" spans="1:10" s="2" customFormat="1" ht="18.75" customHeight="1" x14ac:dyDescent="0.25">
      <c r="A65" s="6"/>
      <c r="B65" s="6"/>
      <c r="C65" s="6"/>
      <c r="D65" s="6"/>
    </row>
    <row r="66" spans="1:10" s="2" customFormat="1" ht="36" x14ac:dyDescent="0.25">
      <c r="A66" s="202" t="s">
        <v>941</v>
      </c>
      <c r="B66" s="203" t="s">
        <v>201</v>
      </c>
      <c r="C66" s="6"/>
      <c r="D66" s="6"/>
    </row>
    <row r="67" spans="1:10" s="2" customFormat="1" ht="18.75" customHeight="1" x14ac:dyDescent="0.25">
      <c r="A67" s="6"/>
      <c r="B67" s="6"/>
      <c r="C67" s="6"/>
      <c r="D67" s="6"/>
    </row>
    <row r="68" spans="1:10" ht="18.75" customHeight="1" x14ac:dyDescent="0.25">
      <c r="E68" s="2"/>
      <c r="F68" s="2"/>
    </row>
    <row r="69" spans="1:10" ht="18.75" customHeight="1" x14ac:dyDescent="0.25">
      <c r="E69" s="2"/>
      <c r="F69" s="3"/>
    </row>
    <row r="70" spans="1:10" ht="18.75" customHeight="1" x14ac:dyDescent="0.25">
      <c r="A70" s="3" t="s">
        <v>648</v>
      </c>
      <c r="B70" s="3" t="s">
        <v>944</v>
      </c>
      <c r="D70" s="2"/>
      <c r="E70" s="2"/>
    </row>
    <row r="71" spans="1:10" ht="18.75" customHeight="1" x14ac:dyDescent="0.25">
      <c r="A71" s="4" t="s">
        <v>1</v>
      </c>
      <c r="B71" s="2" t="s">
        <v>744</v>
      </c>
      <c r="C71" s="2"/>
    </row>
    <row r="72" spans="1:10" ht="18.75" customHeight="1" x14ac:dyDescent="0.2">
      <c r="C72"/>
      <c r="D72"/>
      <c r="E72"/>
    </row>
    <row r="73" spans="1:10" ht="36" x14ac:dyDescent="0.2">
      <c r="A73" s="120" t="s">
        <v>641</v>
      </c>
      <c r="B73" s="87" t="s">
        <v>18</v>
      </c>
      <c r="C73"/>
      <c r="D73"/>
      <c r="E73"/>
      <c r="I73"/>
      <c r="J73"/>
    </row>
    <row r="74" spans="1:10" ht="18" x14ac:dyDescent="0.25">
      <c r="A74" s="74" t="s">
        <v>21</v>
      </c>
      <c r="B74" s="119">
        <v>458</v>
      </c>
      <c r="C74"/>
      <c r="D74"/>
      <c r="E74"/>
      <c r="I74"/>
      <c r="J74"/>
    </row>
    <row r="75" spans="1:10" ht="18" x14ac:dyDescent="0.25">
      <c r="A75" s="74" t="s">
        <v>22</v>
      </c>
      <c r="B75" s="119">
        <v>102</v>
      </c>
      <c r="C75"/>
      <c r="D75"/>
      <c r="E75"/>
      <c r="I75"/>
      <c r="J75"/>
    </row>
    <row r="76" spans="1:10" ht="18" x14ac:dyDescent="0.25">
      <c r="A76" s="74" t="s">
        <v>203</v>
      </c>
      <c r="B76" s="119">
        <v>38</v>
      </c>
      <c r="C76"/>
      <c r="D76"/>
      <c r="E76"/>
      <c r="I76"/>
      <c r="J76"/>
    </row>
    <row r="77" spans="1:10" ht="14.25" x14ac:dyDescent="0.2">
      <c r="A77"/>
      <c r="B77"/>
      <c r="C77"/>
      <c r="D77"/>
      <c r="E77"/>
      <c r="F77"/>
      <c r="G77"/>
      <c r="H77"/>
      <c r="I77"/>
      <c r="J77"/>
    </row>
    <row r="78" spans="1:10" ht="14.25" x14ac:dyDescent="0.2">
      <c r="F78"/>
      <c r="G78"/>
      <c r="H78"/>
      <c r="I78"/>
    </row>
    <row r="79" spans="1:10" ht="14.25" x14ac:dyDescent="0.2">
      <c r="F79"/>
      <c r="G79"/>
      <c r="H79"/>
      <c r="I79"/>
    </row>
    <row r="80" spans="1:10" ht="18" x14ac:dyDescent="0.25">
      <c r="E80" s="2"/>
      <c r="G80"/>
      <c r="H80"/>
      <c r="I80"/>
    </row>
    <row r="81" spans="1:9" ht="18" x14ac:dyDescent="0.25">
      <c r="A81" s="3" t="s">
        <v>649</v>
      </c>
      <c r="B81" s="3" t="s">
        <v>205</v>
      </c>
      <c r="D81" s="2"/>
      <c r="G81"/>
      <c r="H81"/>
      <c r="I81"/>
    </row>
    <row r="82" spans="1:9" ht="18" x14ac:dyDescent="0.25">
      <c r="A82" s="4" t="s">
        <v>1</v>
      </c>
      <c r="B82" s="2" t="s">
        <v>745</v>
      </c>
      <c r="C82" s="2"/>
      <c r="G82"/>
      <c r="H82"/>
      <c r="I82"/>
    </row>
    <row r="83" spans="1:9" ht="14.25" x14ac:dyDescent="0.2">
      <c r="G83"/>
      <c r="H83"/>
      <c r="I83"/>
    </row>
    <row r="84" spans="1:9" ht="19.5" customHeight="1" x14ac:dyDescent="0.2">
      <c r="A84" s="122" t="s">
        <v>642</v>
      </c>
      <c r="B84" s="76" t="s">
        <v>206</v>
      </c>
      <c r="C84" s="76" t="s">
        <v>207</v>
      </c>
      <c r="D84" s="76" t="s">
        <v>4</v>
      </c>
      <c r="G84"/>
      <c r="H84"/>
      <c r="I84"/>
    </row>
    <row r="85" spans="1:9" ht="18" x14ac:dyDescent="0.25">
      <c r="A85" s="74" t="s">
        <v>199</v>
      </c>
      <c r="B85" s="119">
        <v>1</v>
      </c>
      <c r="C85" s="119">
        <v>0</v>
      </c>
      <c r="D85" s="121">
        <f t="shared" ref="D85:D95" si="0">SUM(B85:C85)</f>
        <v>1</v>
      </c>
      <c r="G85"/>
      <c r="H85"/>
      <c r="I85"/>
    </row>
    <row r="86" spans="1:9" ht="18" x14ac:dyDescent="0.25">
      <c r="A86" s="74" t="s">
        <v>191</v>
      </c>
      <c r="B86" s="119">
        <v>6</v>
      </c>
      <c r="C86" s="119">
        <v>0</v>
      </c>
      <c r="D86" s="121">
        <f t="shared" si="0"/>
        <v>6</v>
      </c>
      <c r="G86"/>
      <c r="H86"/>
      <c r="I86"/>
    </row>
    <row r="87" spans="1:9" ht="18" x14ac:dyDescent="0.25">
      <c r="A87" s="74" t="s">
        <v>27</v>
      </c>
      <c r="B87" s="119">
        <v>61</v>
      </c>
      <c r="C87" s="119">
        <v>3</v>
      </c>
      <c r="D87" s="121">
        <f t="shared" si="0"/>
        <v>64</v>
      </c>
      <c r="G87"/>
      <c r="H87"/>
      <c r="I87"/>
    </row>
    <row r="88" spans="1:9" ht="18" x14ac:dyDescent="0.25">
      <c r="A88" s="74" t="s">
        <v>192</v>
      </c>
      <c r="B88" s="119">
        <v>108</v>
      </c>
      <c r="C88" s="119">
        <v>17</v>
      </c>
      <c r="D88" s="121">
        <f t="shared" si="0"/>
        <v>125</v>
      </c>
      <c r="G88"/>
      <c r="H88"/>
      <c r="I88"/>
    </row>
    <row r="89" spans="1:9" ht="18" x14ac:dyDescent="0.25">
      <c r="A89" s="74" t="s">
        <v>208</v>
      </c>
      <c r="B89" s="119">
        <v>27</v>
      </c>
      <c r="C89" s="119">
        <v>2</v>
      </c>
      <c r="D89" s="121">
        <f t="shared" si="0"/>
        <v>29</v>
      </c>
      <c r="G89"/>
      <c r="H89"/>
      <c r="I89"/>
    </row>
    <row r="90" spans="1:9" ht="18" x14ac:dyDescent="0.25">
      <c r="A90" s="74" t="s">
        <v>209</v>
      </c>
      <c r="B90" s="119">
        <v>168</v>
      </c>
      <c r="C90" s="119">
        <v>19</v>
      </c>
      <c r="D90" s="121">
        <f t="shared" si="0"/>
        <v>187</v>
      </c>
      <c r="G90"/>
      <c r="H90"/>
      <c r="I90"/>
    </row>
    <row r="91" spans="1:9" ht="18.75" customHeight="1" x14ac:dyDescent="0.25">
      <c r="A91" s="74" t="s">
        <v>210</v>
      </c>
      <c r="B91" s="119">
        <v>17</v>
      </c>
      <c r="C91" s="119">
        <v>2</v>
      </c>
      <c r="D91" s="121">
        <f t="shared" si="0"/>
        <v>19</v>
      </c>
    </row>
    <row r="92" spans="1:9" ht="18.75" customHeight="1" x14ac:dyDescent="0.25">
      <c r="A92" s="74" t="s">
        <v>193</v>
      </c>
      <c r="B92" s="119">
        <v>37</v>
      </c>
      <c r="C92" s="119">
        <v>4</v>
      </c>
      <c r="D92" s="121">
        <f t="shared" si="0"/>
        <v>41</v>
      </c>
    </row>
    <row r="93" spans="1:9" ht="18.75" customHeight="1" x14ac:dyDescent="0.25">
      <c r="A93" s="74" t="s">
        <v>194</v>
      </c>
      <c r="B93" s="119">
        <v>67</v>
      </c>
      <c r="C93" s="119">
        <v>8</v>
      </c>
      <c r="D93" s="121">
        <f t="shared" si="0"/>
        <v>75</v>
      </c>
    </row>
    <row r="94" spans="1:9" ht="18.75" customHeight="1" x14ac:dyDescent="0.25">
      <c r="A94" s="74" t="s">
        <v>211</v>
      </c>
      <c r="B94" s="119">
        <v>78</v>
      </c>
      <c r="C94" s="119">
        <v>40</v>
      </c>
      <c r="D94" s="121">
        <f t="shared" si="0"/>
        <v>118</v>
      </c>
    </row>
    <row r="95" spans="1:9" ht="18.75" customHeight="1" x14ac:dyDescent="0.25">
      <c r="A95" s="74" t="s">
        <v>643</v>
      </c>
      <c r="B95" s="119">
        <v>15</v>
      </c>
      <c r="C95" s="119">
        <v>3</v>
      </c>
      <c r="D95" s="121">
        <f t="shared" si="0"/>
        <v>18</v>
      </c>
    </row>
    <row r="96" spans="1:9" ht="18.75" customHeight="1" x14ac:dyDescent="0.2">
      <c r="B96" s="26"/>
      <c r="C96" s="26"/>
    </row>
    <row r="97" spans="1:8" ht="18.75" customHeight="1" x14ac:dyDescent="0.2">
      <c r="B97" s="27"/>
      <c r="C97" s="27"/>
    </row>
    <row r="98" spans="1:8" ht="18.75" customHeight="1" x14ac:dyDescent="0.2">
      <c r="B98" s="27"/>
      <c r="C98" s="27"/>
    </row>
    <row r="99" spans="1:8" ht="18.75" customHeight="1" x14ac:dyDescent="0.25">
      <c r="A99" s="3" t="s">
        <v>650</v>
      </c>
      <c r="B99" s="3" t="s">
        <v>947</v>
      </c>
      <c r="C99" s="27"/>
    </row>
    <row r="100" spans="1:8" ht="18.75" customHeight="1" x14ac:dyDescent="0.25">
      <c r="A100" s="4" t="s">
        <v>1</v>
      </c>
      <c r="B100" s="2" t="s">
        <v>946</v>
      </c>
      <c r="C100" s="27"/>
    </row>
    <row r="101" spans="1:8" ht="18.75" customHeight="1" x14ac:dyDescent="0.2">
      <c r="G101"/>
      <c r="H101"/>
    </row>
    <row r="102" spans="1:8" ht="18" x14ac:dyDescent="0.25">
      <c r="A102" s="199" t="s">
        <v>523</v>
      </c>
      <c r="B102" s="87" t="s">
        <v>213</v>
      </c>
      <c r="C102" s="87" t="s">
        <v>2</v>
      </c>
      <c r="D102" s="87" t="s">
        <v>140</v>
      </c>
      <c r="E102" s="87" t="s">
        <v>4</v>
      </c>
      <c r="G102"/>
      <c r="H102"/>
    </row>
    <row r="103" spans="1:8" ht="42" customHeight="1" x14ac:dyDescent="0.2">
      <c r="A103" s="120" t="s">
        <v>945</v>
      </c>
      <c r="B103" s="76">
        <v>116</v>
      </c>
      <c r="C103" s="76">
        <v>53</v>
      </c>
      <c r="D103" s="76">
        <v>2</v>
      </c>
      <c r="E103" s="76">
        <f>SUM(Table41[[Metro ]:[Unknown]])</f>
        <v>171</v>
      </c>
      <c r="G103"/>
      <c r="H103"/>
    </row>
    <row r="104" spans="1:8" ht="18.75" customHeight="1" x14ac:dyDescent="0.2">
      <c r="B104" s="120"/>
      <c r="C104" s="120"/>
      <c r="D104" s="120"/>
      <c r="E104" s="120"/>
    </row>
    <row r="107" spans="1:8" ht="18.75" customHeight="1" x14ac:dyDescent="0.25">
      <c r="A107" s="3" t="s">
        <v>652</v>
      </c>
      <c r="B107" s="3" t="s">
        <v>893</v>
      </c>
    </row>
    <row r="108" spans="1:8" ht="18.75" customHeight="1" x14ac:dyDescent="0.25">
      <c r="A108" s="4" t="s">
        <v>1</v>
      </c>
      <c r="B108" s="2" t="s">
        <v>948</v>
      </c>
    </row>
    <row r="110" spans="1:8" ht="18.75" customHeight="1" x14ac:dyDescent="0.2">
      <c r="A110" s="120" t="s">
        <v>214</v>
      </c>
      <c r="B110" s="87" t="s">
        <v>215</v>
      </c>
      <c r="C110" s="87" t="s">
        <v>213</v>
      </c>
      <c r="D110" s="87" t="s">
        <v>2</v>
      </c>
      <c r="E110" s="87" t="s">
        <v>140</v>
      </c>
      <c r="F110" s="87" t="s">
        <v>4</v>
      </c>
    </row>
    <row r="111" spans="1:8" ht="18.75" customHeight="1" x14ac:dyDescent="0.2">
      <c r="A111" s="84" t="s">
        <v>216</v>
      </c>
      <c r="B111" s="124" t="s">
        <v>219</v>
      </c>
      <c r="C111" s="90">
        <v>75</v>
      </c>
      <c r="D111" s="90">
        <v>32</v>
      </c>
      <c r="E111" s="90">
        <v>2</v>
      </c>
      <c r="F111" s="90">
        <f>SUM(C111:E111)</f>
        <v>109</v>
      </c>
    </row>
    <row r="112" spans="1:8" ht="36" x14ac:dyDescent="0.2">
      <c r="A112" s="84" t="s">
        <v>217</v>
      </c>
      <c r="B112" s="124" t="s">
        <v>220</v>
      </c>
      <c r="C112" s="90">
        <v>158</v>
      </c>
      <c r="D112" s="90">
        <v>78</v>
      </c>
      <c r="E112" s="90">
        <v>3</v>
      </c>
      <c r="F112" s="90">
        <f t="shared" ref="F112:F123" si="1">SUM(C112:E112)</f>
        <v>239</v>
      </c>
    </row>
    <row r="113" spans="1:6" ht="18" x14ac:dyDescent="0.2">
      <c r="A113" s="84" t="s">
        <v>218</v>
      </c>
      <c r="B113" s="124" t="s">
        <v>221</v>
      </c>
      <c r="C113" s="90">
        <v>162</v>
      </c>
      <c r="D113" s="90">
        <v>75</v>
      </c>
      <c r="E113" s="90">
        <v>3</v>
      </c>
      <c r="F113" s="90">
        <f t="shared" si="1"/>
        <v>240</v>
      </c>
    </row>
    <row r="114" spans="1:6" ht="18" x14ac:dyDescent="0.2">
      <c r="A114" s="84" t="s">
        <v>222</v>
      </c>
      <c r="B114" s="124" t="s">
        <v>223</v>
      </c>
      <c r="C114" s="90">
        <v>61</v>
      </c>
      <c r="D114" s="90">
        <v>28</v>
      </c>
      <c r="E114" s="90">
        <v>2</v>
      </c>
      <c r="F114" s="90">
        <f t="shared" si="1"/>
        <v>91</v>
      </c>
    </row>
    <row r="115" spans="1:6" ht="18.75" customHeight="1" x14ac:dyDescent="0.2">
      <c r="A115" s="84" t="s">
        <v>224</v>
      </c>
      <c r="B115" s="124" t="s">
        <v>225</v>
      </c>
      <c r="C115" s="90">
        <v>157</v>
      </c>
      <c r="D115" s="90">
        <v>74</v>
      </c>
      <c r="E115" s="90">
        <v>3</v>
      </c>
      <c r="F115" s="90">
        <f t="shared" si="1"/>
        <v>234</v>
      </c>
    </row>
    <row r="116" spans="1:6" ht="18" x14ac:dyDescent="0.2">
      <c r="A116" s="84" t="s">
        <v>226</v>
      </c>
      <c r="B116" s="124" t="s">
        <v>227</v>
      </c>
      <c r="C116" s="90">
        <v>65</v>
      </c>
      <c r="D116" s="90">
        <v>36</v>
      </c>
      <c r="E116" s="90">
        <v>2</v>
      </c>
      <c r="F116" s="90">
        <f t="shared" si="1"/>
        <v>103</v>
      </c>
    </row>
    <row r="117" spans="1:6" ht="18" x14ac:dyDescent="0.2">
      <c r="A117" s="84" t="s">
        <v>228</v>
      </c>
      <c r="B117" s="124" t="s">
        <v>229</v>
      </c>
      <c r="C117" s="90">
        <v>144</v>
      </c>
      <c r="D117" s="90">
        <v>72</v>
      </c>
      <c r="E117" s="90">
        <v>2</v>
      </c>
      <c r="F117" s="90">
        <f t="shared" si="1"/>
        <v>218</v>
      </c>
    </row>
    <row r="118" spans="1:6" ht="36" x14ac:dyDescent="0.2">
      <c r="A118" s="84" t="s">
        <v>230</v>
      </c>
      <c r="B118" s="124" t="s">
        <v>231</v>
      </c>
      <c r="C118" s="90">
        <v>91</v>
      </c>
      <c r="D118" s="90">
        <v>44</v>
      </c>
      <c r="E118" s="90">
        <v>1</v>
      </c>
      <c r="F118" s="90">
        <f t="shared" si="1"/>
        <v>136</v>
      </c>
    </row>
    <row r="119" spans="1:6" ht="18" x14ac:dyDescent="0.2">
      <c r="A119" s="84" t="s">
        <v>232</v>
      </c>
      <c r="B119" s="124" t="s">
        <v>233</v>
      </c>
      <c r="C119" s="90">
        <v>122</v>
      </c>
      <c r="D119" s="90">
        <v>63</v>
      </c>
      <c r="E119" s="90">
        <v>2</v>
      </c>
      <c r="F119" s="90">
        <f t="shared" si="1"/>
        <v>187</v>
      </c>
    </row>
    <row r="120" spans="1:6" ht="36" x14ac:dyDescent="0.2">
      <c r="A120" s="84" t="s">
        <v>234</v>
      </c>
      <c r="B120" s="124" t="s">
        <v>235</v>
      </c>
      <c r="C120" s="90">
        <v>112</v>
      </c>
      <c r="D120" s="90">
        <v>58</v>
      </c>
      <c r="E120" s="90">
        <v>2</v>
      </c>
      <c r="F120" s="90">
        <f t="shared" si="1"/>
        <v>172</v>
      </c>
    </row>
    <row r="121" spans="1:6" ht="36" x14ac:dyDescent="0.2">
      <c r="A121" s="84" t="s">
        <v>236</v>
      </c>
      <c r="B121" s="124" t="s">
        <v>231</v>
      </c>
      <c r="C121" s="90">
        <v>75</v>
      </c>
      <c r="D121" s="90">
        <v>36</v>
      </c>
      <c r="E121" s="90">
        <v>1</v>
      </c>
      <c r="F121" s="90">
        <f t="shared" si="1"/>
        <v>112</v>
      </c>
    </row>
    <row r="122" spans="1:6" ht="36" x14ac:dyDescent="0.2">
      <c r="A122" s="84" t="s">
        <v>237</v>
      </c>
      <c r="B122" s="124" t="s">
        <v>238</v>
      </c>
      <c r="C122" s="90">
        <v>59</v>
      </c>
      <c r="D122" s="90">
        <v>23</v>
      </c>
      <c r="E122" s="90">
        <v>1</v>
      </c>
      <c r="F122" s="90">
        <f t="shared" si="1"/>
        <v>83</v>
      </c>
    </row>
    <row r="123" spans="1:6" ht="18" x14ac:dyDescent="0.2">
      <c r="A123" s="84" t="s">
        <v>239</v>
      </c>
      <c r="B123" s="124" t="s">
        <v>240</v>
      </c>
      <c r="C123" s="90">
        <v>86</v>
      </c>
      <c r="D123" s="90">
        <v>40</v>
      </c>
      <c r="E123" s="90">
        <v>2</v>
      </c>
      <c r="F123" s="90">
        <f t="shared" si="1"/>
        <v>128</v>
      </c>
    </row>
    <row r="128" spans="1:6" ht="18.75" customHeight="1" x14ac:dyDescent="0.25">
      <c r="A128" s="3" t="s">
        <v>653</v>
      </c>
      <c r="B128" s="3" t="s">
        <v>241</v>
      </c>
    </row>
    <row r="129" spans="1:6" ht="18.75" customHeight="1" x14ac:dyDescent="0.25">
      <c r="A129" s="4" t="s">
        <v>1</v>
      </c>
      <c r="B129" s="2" t="s">
        <v>746</v>
      </c>
    </row>
    <row r="131" spans="1:6" ht="18.75" customHeight="1" x14ac:dyDescent="0.2">
      <c r="A131" s="120" t="s">
        <v>651</v>
      </c>
      <c r="B131" s="87" t="s">
        <v>3</v>
      </c>
      <c r="C131" s="87" t="s">
        <v>2</v>
      </c>
      <c r="D131" s="87" t="s">
        <v>140</v>
      </c>
      <c r="E131" s="87" t="s">
        <v>178</v>
      </c>
      <c r="F131" s="87" t="s">
        <v>619</v>
      </c>
    </row>
    <row r="132" spans="1:6" ht="18.75" customHeight="1" x14ac:dyDescent="0.2">
      <c r="A132" s="84" t="s">
        <v>242</v>
      </c>
      <c r="B132" s="90">
        <v>100</v>
      </c>
      <c r="C132" s="90">
        <v>49</v>
      </c>
      <c r="D132" s="90">
        <v>1</v>
      </c>
      <c r="E132" s="90">
        <f>SUM(Table43[[#This Row],[Metro]:[Unknown]])</f>
        <v>150</v>
      </c>
      <c r="F132" s="77">
        <f>Table43[[#This Row],[ Total]]/Table43[[#Totals],[ Total]]</f>
        <v>0.27522935779816515</v>
      </c>
    </row>
    <row r="133" spans="1:6" ht="18.75" customHeight="1" x14ac:dyDescent="0.2">
      <c r="A133" s="84" t="s">
        <v>243</v>
      </c>
      <c r="B133" s="90">
        <v>152</v>
      </c>
      <c r="C133" s="90">
        <v>69</v>
      </c>
      <c r="D133" s="90">
        <v>4</v>
      </c>
      <c r="E133" s="90">
        <f>SUM(Table43[[#This Row],[Metro]:[Unknown]])</f>
        <v>225</v>
      </c>
      <c r="F133" s="77">
        <f>Table43[[#This Row],[ Total]]/Table43[[#Totals],[ Total]]</f>
        <v>0.41284403669724773</v>
      </c>
    </row>
    <row r="134" spans="1:6" ht="18.75" customHeight="1" x14ac:dyDescent="0.2">
      <c r="A134" s="84" t="s">
        <v>244</v>
      </c>
      <c r="B134" s="90">
        <v>3</v>
      </c>
      <c r="C134" s="90">
        <v>2</v>
      </c>
      <c r="D134" s="90"/>
      <c r="E134" s="90">
        <f>SUM(Table43[[#This Row],[Metro]:[Unknown]])</f>
        <v>5</v>
      </c>
      <c r="F134" s="77">
        <f>Table43[[#This Row],[ Total]]/Table43[[#Totals],[ Total]]</f>
        <v>9.1743119266055051E-3</v>
      </c>
    </row>
    <row r="135" spans="1:6" ht="18.75" customHeight="1" x14ac:dyDescent="0.2">
      <c r="A135" s="84" t="s">
        <v>245</v>
      </c>
      <c r="B135" s="90">
        <v>30</v>
      </c>
      <c r="C135" s="90">
        <v>12</v>
      </c>
      <c r="D135" s="90"/>
      <c r="E135" s="90">
        <f>SUM(Table43[[#This Row],[Metro]:[Unknown]])</f>
        <v>42</v>
      </c>
      <c r="F135" s="77">
        <f>Table43[[#This Row],[ Total]]/Table43[[#Totals],[ Total]]</f>
        <v>7.7064220183486243E-2</v>
      </c>
    </row>
    <row r="136" spans="1:6" ht="18.75" customHeight="1" x14ac:dyDescent="0.2">
      <c r="A136" s="84" t="s">
        <v>246</v>
      </c>
      <c r="B136" s="90">
        <v>89</v>
      </c>
      <c r="C136" s="90">
        <v>34</v>
      </c>
      <c r="D136" s="90"/>
      <c r="E136" s="90">
        <f>SUM(Table43[[#This Row],[Metro]:[Unknown]])</f>
        <v>123</v>
      </c>
      <c r="F136" s="77">
        <f>Table43[[#This Row],[ Total]]/Table43[[#Totals],[ Total]]</f>
        <v>0.22568807339449543</v>
      </c>
    </row>
    <row r="137" spans="1:6" ht="18.75" customHeight="1" x14ac:dyDescent="0.25">
      <c r="A137" s="1" t="s">
        <v>4</v>
      </c>
      <c r="B137" s="123">
        <f>SUBTOTAL(109,Table43[Metro])</f>
        <v>374</v>
      </c>
      <c r="C137" s="123">
        <f>SUBTOTAL(109,Table43[Rural])</f>
        <v>166</v>
      </c>
      <c r="D137" s="123">
        <f>SUBTOTAL(109,Table43[Unknown])</f>
        <v>5</v>
      </c>
      <c r="E137" s="123">
        <f>SUBTOTAL(109,Table43[[ Total]])</f>
        <v>545</v>
      </c>
      <c r="F137" s="102">
        <f>SUBTOTAL(109,Table43[% total])</f>
        <v>1</v>
      </c>
    </row>
    <row r="140" spans="1:6" ht="18.75" customHeight="1" x14ac:dyDescent="0.2">
      <c r="F140"/>
    </row>
    <row r="141" spans="1:6" ht="18.75" customHeight="1" x14ac:dyDescent="0.25">
      <c r="A141" s="3" t="s">
        <v>654</v>
      </c>
      <c r="B141" s="3" t="s">
        <v>247</v>
      </c>
      <c r="F141"/>
    </row>
    <row r="142" spans="1:6" ht="18.75" customHeight="1" x14ac:dyDescent="0.25">
      <c r="A142" s="4" t="s">
        <v>1</v>
      </c>
      <c r="B142" s="2" t="s">
        <v>949</v>
      </c>
      <c r="F142"/>
    </row>
    <row r="143" spans="1:6" ht="18.75" customHeight="1" x14ac:dyDescent="0.25">
      <c r="B143" s="2"/>
      <c r="F143"/>
    </row>
    <row r="144" spans="1:6" ht="18.75" customHeight="1" x14ac:dyDescent="0.25">
      <c r="A144" s="120" t="s">
        <v>784</v>
      </c>
      <c r="B144" s="87" t="s">
        <v>3</v>
      </c>
      <c r="C144" s="87" t="s">
        <v>2</v>
      </c>
      <c r="D144" s="87" t="s">
        <v>140</v>
      </c>
      <c r="E144" s="87" t="s">
        <v>178</v>
      </c>
      <c r="F144" s="98" t="s">
        <v>619</v>
      </c>
    </row>
    <row r="145" spans="1:6" ht="18.75" customHeight="1" x14ac:dyDescent="0.25">
      <c r="A145" s="84" t="s">
        <v>21</v>
      </c>
      <c r="B145" s="90">
        <v>96</v>
      </c>
      <c r="C145" s="90">
        <v>68</v>
      </c>
      <c r="D145" s="90">
        <v>2</v>
      </c>
      <c r="E145" s="90">
        <f>SUM(Table44[[#This Row],[Metro]:[Unknown]])</f>
        <v>166</v>
      </c>
      <c r="F145" s="116">
        <f>Table44[[#This Row],[ Total]]/Table44[[#Totals],[ Total]]</f>
        <v>0.28473413379073759</v>
      </c>
    </row>
    <row r="146" spans="1:6" ht="18.75" customHeight="1" x14ac:dyDescent="0.25">
      <c r="A146" s="84" t="s">
        <v>22</v>
      </c>
      <c r="B146" s="90">
        <v>308</v>
      </c>
      <c r="C146" s="90">
        <v>106</v>
      </c>
      <c r="D146" s="90">
        <v>3</v>
      </c>
      <c r="E146" s="90">
        <f>SUM(Table44[[#This Row],[Metro]:[Unknown]])</f>
        <v>417</v>
      </c>
      <c r="F146" s="116">
        <f>Table44[[#This Row],[ Total]]/Table44[[#Totals],[ Total]]</f>
        <v>0.71526586620926247</v>
      </c>
    </row>
    <row r="147" spans="1:6" ht="18.75" customHeight="1" x14ac:dyDescent="0.25">
      <c r="A147" s="1" t="s">
        <v>4</v>
      </c>
      <c r="B147" s="123">
        <f>SUBTOTAL(109,Table44[Metro])</f>
        <v>404</v>
      </c>
      <c r="C147" s="123">
        <f>SUBTOTAL(109,Table44[Rural])</f>
        <v>174</v>
      </c>
      <c r="D147" s="123">
        <f>SUBTOTAL(109,Table44[Unknown])</f>
        <v>5</v>
      </c>
      <c r="E147" s="123">
        <f>SUBTOTAL(109,Table44[[ Total]])</f>
        <v>583</v>
      </c>
      <c r="F147" s="116">
        <f>SUBTOTAL(109,Table44[% total])</f>
        <v>1</v>
      </c>
    </row>
    <row r="151" spans="1:6" ht="18.75" customHeight="1" x14ac:dyDescent="0.25">
      <c r="A151" s="3" t="s">
        <v>783</v>
      </c>
      <c r="B151" s="3" t="s">
        <v>463</v>
      </c>
      <c r="F151" s="155"/>
    </row>
    <row r="152" spans="1:6" ht="18.75" customHeight="1" x14ac:dyDescent="0.25">
      <c r="A152" s="4" t="s">
        <v>1</v>
      </c>
      <c r="B152" s="2" t="s">
        <v>785</v>
      </c>
      <c r="F152" s="155"/>
    </row>
    <row r="153" spans="1:6" ht="18.75" customHeight="1" x14ac:dyDescent="0.25">
      <c r="B153" s="2"/>
      <c r="F153" s="155"/>
    </row>
    <row r="154" spans="1:6" ht="18.75" customHeight="1" x14ac:dyDescent="0.25">
      <c r="A154" s="120" t="s">
        <v>463</v>
      </c>
      <c r="B154" s="87" t="s">
        <v>18</v>
      </c>
      <c r="C154" s="87" t="s">
        <v>619</v>
      </c>
      <c r="D154" s="87"/>
      <c r="E154" s="87"/>
      <c r="F154" s="1"/>
    </row>
    <row r="155" spans="1:6" ht="18.75" customHeight="1" x14ac:dyDescent="0.25">
      <c r="A155" s="84" t="s">
        <v>22</v>
      </c>
      <c r="B155" s="90">
        <v>364</v>
      </c>
      <c r="C155" s="172">
        <f>Table4472[[#This Row],[Frequency]]/Table4472[[#Totals],[Frequency]]</f>
        <v>0.5977011494252874</v>
      </c>
      <c r="D155" s="90"/>
      <c r="E155" s="90"/>
      <c r="F155" s="116"/>
    </row>
    <row r="156" spans="1:6" ht="18.75" customHeight="1" x14ac:dyDescent="0.25">
      <c r="A156" s="84" t="s">
        <v>21</v>
      </c>
      <c r="B156" s="90">
        <v>245</v>
      </c>
      <c r="C156" s="172">
        <f>Table4472[[#This Row],[Frequency]]/Table4472[[#Totals],[Frequency]]</f>
        <v>0.40229885057471265</v>
      </c>
      <c r="D156" s="90"/>
      <c r="E156" s="90"/>
      <c r="F156" s="116"/>
    </row>
    <row r="157" spans="1:6" ht="18.75" customHeight="1" x14ac:dyDescent="0.25">
      <c r="A157" s="1" t="s">
        <v>4</v>
      </c>
      <c r="B157" s="123">
        <f>SUBTOTAL(109,Table4472[Frequency])</f>
        <v>609</v>
      </c>
      <c r="C157" s="116">
        <f>SUBTOTAL(109,Table4472[% total])</f>
        <v>1</v>
      </c>
    </row>
    <row r="161" spans="1:10" ht="18.75" customHeight="1" x14ac:dyDescent="0.25">
      <c r="A161" s="3" t="s">
        <v>786</v>
      </c>
      <c r="B161" s="3" t="s">
        <v>791</v>
      </c>
    </row>
    <row r="162" spans="1:10" ht="18.75" customHeight="1" x14ac:dyDescent="0.25">
      <c r="A162" s="4" t="s">
        <v>1</v>
      </c>
      <c r="B162" s="2" t="s">
        <v>793</v>
      </c>
    </row>
    <row r="163" spans="1:10" ht="18.75" customHeight="1" x14ac:dyDescent="0.25">
      <c r="B163" s="2"/>
    </row>
    <row r="164" spans="1:10" ht="18" x14ac:dyDescent="0.25">
      <c r="A164" s="120" t="s">
        <v>796</v>
      </c>
      <c r="B164" s="87" t="s">
        <v>3</v>
      </c>
      <c r="C164" s="87" t="s">
        <v>2</v>
      </c>
      <c r="D164" s="98" t="s">
        <v>789</v>
      </c>
      <c r="E164" s="1" t="s">
        <v>797</v>
      </c>
    </row>
    <row r="165" spans="1:10" ht="18.75" customHeight="1" x14ac:dyDescent="0.25">
      <c r="A165" s="84" t="s">
        <v>787</v>
      </c>
      <c r="B165" s="77">
        <v>1.9417475728155338E-2</v>
      </c>
      <c r="C165" s="77">
        <v>9.1743119266055051E-3</v>
      </c>
      <c r="D165" s="116">
        <v>5.7268722466960353E-2</v>
      </c>
      <c r="E165" s="116">
        <v>3.3210332103321034E-2</v>
      </c>
    </row>
    <row r="166" spans="1:10" ht="18.75" customHeight="1" x14ac:dyDescent="0.25">
      <c r="A166" s="84" t="s">
        <v>33</v>
      </c>
      <c r="B166" s="77">
        <v>0.5145631067961165</v>
      </c>
      <c r="C166" s="77">
        <v>0.5321100917431193</v>
      </c>
      <c r="D166" s="116">
        <v>0.55947136563876654</v>
      </c>
      <c r="E166" s="116">
        <v>0.53690036900369009</v>
      </c>
      <c r="F166" s="155"/>
    </row>
    <row r="167" spans="1:10" ht="18" x14ac:dyDescent="0.25">
      <c r="A167" s="173" t="s">
        <v>299</v>
      </c>
      <c r="B167" s="174">
        <v>0.25728155339805825</v>
      </c>
      <c r="C167" s="116">
        <v>0.32110091743119268</v>
      </c>
      <c r="D167" s="116">
        <v>0.22466960352422907</v>
      </c>
      <c r="E167" s="116">
        <v>0.25645756457564578</v>
      </c>
      <c r="J167"/>
    </row>
    <row r="168" spans="1:10" ht="18" x14ac:dyDescent="0.25">
      <c r="A168" s="173" t="s">
        <v>300</v>
      </c>
      <c r="B168" s="174">
        <v>0.15048543689320387</v>
      </c>
      <c r="C168" s="116">
        <v>0.10091743119266056</v>
      </c>
      <c r="D168" s="116">
        <v>0.12334801762114538</v>
      </c>
      <c r="E168" s="116">
        <v>0.12915129151291513</v>
      </c>
      <c r="J168"/>
    </row>
    <row r="169" spans="1:10" ht="18" x14ac:dyDescent="0.25">
      <c r="A169" s="173" t="s">
        <v>301</v>
      </c>
      <c r="B169" s="174">
        <v>3.3980582524271843E-2</v>
      </c>
      <c r="C169" s="116">
        <v>3.669724770642202E-2</v>
      </c>
      <c r="D169" s="116">
        <v>2.643171806167401E-2</v>
      </c>
      <c r="E169" s="116">
        <v>3.136531365313653E-2</v>
      </c>
      <c r="J169"/>
    </row>
    <row r="170" spans="1:10" ht="18" x14ac:dyDescent="0.25">
      <c r="A170" s="173" t="s">
        <v>302</v>
      </c>
      <c r="B170" s="174">
        <v>9.7087378640776691E-3</v>
      </c>
      <c r="C170" s="116">
        <v>0</v>
      </c>
      <c r="D170" s="116">
        <v>4.4052863436123352E-3</v>
      </c>
      <c r="E170" s="116">
        <v>5.5350553505535052E-3</v>
      </c>
      <c r="J170"/>
    </row>
    <row r="171" spans="1:10" ht="18" x14ac:dyDescent="0.25">
      <c r="A171" s="173" t="s">
        <v>788</v>
      </c>
      <c r="B171" s="174">
        <v>1.4563106796116505E-2</v>
      </c>
      <c r="C171" s="116">
        <v>0</v>
      </c>
      <c r="D171" s="116">
        <v>4.4052863436123352E-3</v>
      </c>
      <c r="E171" s="116">
        <v>7.3800738007380072E-3</v>
      </c>
      <c r="J171"/>
    </row>
    <row r="172" spans="1:10" ht="18" x14ac:dyDescent="0.25">
      <c r="A172" s="1" t="s">
        <v>4</v>
      </c>
      <c r="B172" s="116">
        <f>SUBTOTAL(109,Table447273[Metro])</f>
        <v>1</v>
      </c>
      <c r="C172" s="116">
        <f>SUBTOTAL(109,Table447273[Rural])</f>
        <v>1.0000000000000002</v>
      </c>
      <c r="D172" s="175">
        <f>SUBTOTAL(109,Table447273[Unknown location])</f>
        <v>1</v>
      </c>
      <c r="E172" s="175">
        <f>SUBTOTAL(109,Table447273[Total (n=587)])</f>
        <v>1.0000000000000002</v>
      </c>
      <c r="J172"/>
    </row>
    <row r="173" spans="1:10" ht="14.25" x14ac:dyDescent="0.2">
      <c r="J173"/>
    </row>
    <row r="174" spans="1:10" ht="14.25" x14ac:dyDescent="0.2">
      <c r="J174"/>
    </row>
    <row r="175" spans="1:10" ht="14.25" x14ac:dyDescent="0.2">
      <c r="F175"/>
      <c r="G175"/>
      <c r="H175"/>
      <c r="I175"/>
      <c r="J175"/>
    </row>
    <row r="176" spans="1:10" ht="18" x14ac:dyDescent="0.25">
      <c r="A176" s="3" t="s">
        <v>798</v>
      </c>
      <c r="B176" s="3" t="s">
        <v>792</v>
      </c>
      <c r="F176"/>
      <c r="G176"/>
      <c r="H176"/>
      <c r="I176"/>
      <c r="J176"/>
    </row>
    <row r="177" spans="1:10" ht="18" x14ac:dyDescent="0.25">
      <c r="A177" s="4" t="s">
        <v>1</v>
      </c>
      <c r="B177" s="2" t="s">
        <v>794</v>
      </c>
      <c r="F177"/>
      <c r="G177"/>
      <c r="H177"/>
      <c r="I177"/>
      <c r="J177"/>
    </row>
    <row r="178" spans="1:10" ht="14.25" x14ac:dyDescent="0.2">
      <c r="F178"/>
      <c r="G178"/>
      <c r="H178"/>
      <c r="I178"/>
      <c r="J178"/>
    </row>
    <row r="179" spans="1:10" ht="18" x14ac:dyDescent="0.25">
      <c r="A179" s="120" t="s">
        <v>795</v>
      </c>
      <c r="B179" s="87" t="s">
        <v>3</v>
      </c>
      <c r="C179" s="76" t="s">
        <v>2</v>
      </c>
      <c r="D179" s="98" t="s">
        <v>789</v>
      </c>
      <c r="E179" s="1" t="s">
        <v>797</v>
      </c>
      <c r="F179"/>
      <c r="G179"/>
      <c r="H179"/>
      <c r="I179"/>
      <c r="J179"/>
    </row>
    <row r="180" spans="1:10" ht="18" x14ac:dyDescent="0.25">
      <c r="A180" s="84" t="s">
        <v>787</v>
      </c>
      <c r="B180" s="77">
        <v>2.2222222222222223E-2</v>
      </c>
      <c r="C180" s="77">
        <v>3.4188034188034191E-2</v>
      </c>
      <c r="D180" s="116">
        <v>2.8571428571428571E-2</v>
      </c>
      <c r="E180" s="116">
        <v>2.7257240204429302E-2</v>
      </c>
      <c r="F180"/>
      <c r="G180"/>
      <c r="H180"/>
      <c r="I180"/>
      <c r="J180"/>
    </row>
    <row r="181" spans="1:10" ht="18" x14ac:dyDescent="0.25">
      <c r="A181" s="84" t="s">
        <v>33</v>
      </c>
      <c r="B181" s="77">
        <v>0.36888888888888888</v>
      </c>
      <c r="C181" s="77">
        <v>0.39316239316239315</v>
      </c>
      <c r="D181" s="116">
        <v>0.33061224489795921</v>
      </c>
      <c r="E181" s="116">
        <v>0.35775127768313458</v>
      </c>
      <c r="F181"/>
      <c r="G181"/>
      <c r="H181"/>
      <c r="I181"/>
      <c r="J181"/>
    </row>
    <row r="182" spans="1:10" ht="18" x14ac:dyDescent="0.25">
      <c r="A182" s="173" t="s">
        <v>299</v>
      </c>
      <c r="B182" s="174">
        <v>0.2311111111111111</v>
      </c>
      <c r="C182" s="116">
        <v>0.27350427350427353</v>
      </c>
      <c r="D182" s="116">
        <v>0.25714285714285712</v>
      </c>
      <c r="E182" s="116">
        <v>0.25042589437819418</v>
      </c>
      <c r="F182"/>
      <c r="G182"/>
      <c r="H182"/>
      <c r="I182"/>
      <c r="J182"/>
    </row>
    <row r="183" spans="1:10" ht="18" x14ac:dyDescent="0.25">
      <c r="A183" s="173" t="s">
        <v>300</v>
      </c>
      <c r="B183" s="174">
        <v>0.21333333333333335</v>
      </c>
      <c r="C183" s="116">
        <v>0.1623931623931624</v>
      </c>
      <c r="D183" s="116">
        <v>0.23673469387755103</v>
      </c>
      <c r="E183" s="116">
        <v>0.21294718909710392</v>
      </c>
      <c r="F183"/>
      <c r="G183"/>
      <c r="H183"/>
      <c r="I183"/>
      <c r="J183"/>
    </row>
    <row r="184" spans="1:10" ht="18" x14ac:dyDescent="0.25">
      <c r="A184" s="173" t="s">
        <v>301</v>
      </c>
      <c r="B184" s="174">
        <v>7.5555555555555556E-2</v>
      </c>
      <c r="C184" s="116">
        <v>8.5470085470085472E-2</v>
      </c>
      <c r="D184" s="116">
        <v>0.10204081632653061</v>
      </c>
      <c r="E184" s="116">
        <v>8.8586030664395229E-2</v>
      </c>
      <c r="F184"/>
      <c r="G184"/>
      <c r="H184"/>
      <c r="I184"/>
      <c r="J184"/>
    </row>
    <row r="185" spans="1:10" ht="18" x14ac:dyDescent="0.25">
      <c r="A185" s="173" t="s">
        <v>302</v>
      </c>
      <c r="B185" s="174">
        <v>5.3333333333333337E-2</v>
      </c>
      <c r="C185" s="116">
        <v>3.4188034188034191E-2</v>
      </c>
      <c r="D185" s="116">
        <v>1.6326530612244899E-2</v>
      </c>
      <c r="E185" s="116">
        <v>3.4071550255536626E-2</v>
      </c>
      <c r="F185"/>
      <c r="G185"/>
      <c r="H185"/>
      <c r="I185"/>
      <c r="J185"/>
    </row>
    <row r="186" spans="1:10" ht="18" x14ac:dyDescent="0.25">
      <c r="A186" s="173" t="s">
        <v>788</v>
      </c>
      <c r="B186" s="174">
        <v>1.3333333333333334E-2</v>
      </c>
      <c r="C186" s="116">
        <v>8.5470085470085479E-3</v>
      </c>
      <c r="D186" s="116">
        <v>2.4489795918367346E-2</v>
      </c>
      <c r="E186" s="116">
        <v>1.7035775127768313E-2</v>
      </c>
      <c r="F186"/>
      <c r="G186"/>
      <c r="H186"/>
      <c r="I186"/>
      <c r="J186"/>
    </row>
    <row r="187" spans="1:10" ht="18" x14ac:dyDescent="0.25">
      <c r="A187" s="173" t="s">
        <v>790</v>
      </c>
      <c r="B187" s="174">
        <v>2.2222222222222223E-2</v>
      </c>
      <c r="C187" s="116">
        <v>8.5470085470085479E-3</v>
      </c>
      <c r="D187" s="116">
        <v>4.0816326530612249E-3</v>
      </c>
      <c r="E187" s="116">
        <v>1.192504258943782E-2</v>
      </c>
      <c r="F187" s="155"/>
      <c r="G187" s="155"/>
      <c r="H187" s="155"/>
      <c r="I187" s="155"/>
      <c r="J187" s="155"/>
    </row>
    <row r="188" spans="1:10" ht="18" x14ac:dyDescent="0.25">
      <c r="A188" s="1" t="s">
        <v>4</v>
      </c>
      <c r="B188" s="102">
        <f>SUBTOTAL(109,Table44727374[Metro])</f>
        <v>1</v>
      </c>
      <c r="C188" s="102">
        <f>SUBTOTAL(109,Table44727374[Rural])</f>
        <v>0.99999999999999989</v>
      </c>
      <c r="D188" s="102">
        <f>SUBTOTAL(109,Table44727374[Unknown location])</f>
        <v>1</v>
      </c>
      <c r="E188" s="102">
        <f>SUBTOTAL(109,Table44727374[Total (n=587)])</f>
        <v>1</v>
      </c>
      <c r="F188"/>
      <c r="G188"/>
      <c r="H188"/>
      <c r="I188"/>
      <c r="J188"/>
    </row>
    <row r="189" spans="1:10" ht="14.25" x14ac:dyDescent="0.2">
      <c r="A189"/>
      <c r="B189"/>
      <c r="C189"/>
      <c r="D189"/>
      <c r="E189"/>
      <c r="F189"/>
      <c r="G189"/>
      <c r="H189"/>
      <c r="I189"/>
      <c r="J189"/>
    </row>
    <row r="190" spans="1:10" ht="14.25" x14ac:dyDescent="0.2">
      <c r="A190"/>
      <c r="B190"/>
      <c r="C190"/>
      <c r="D190"/>
      <c r="E190"/>
      <c r="F190"/>
      <c r="G190"/>
      <c r="H190"/>
      <c r="I190"/>
      <c r="J190"/>
    </row>
    <row r="191" spans="1:10" ht="18" x14ac:dyDescent="0.25">
      <c r="A191" s="3" t="s">
        <v>811</v>
      </c>
      <c r="B191" s="3" t="s">
        <v>812</v>
      </c>
      <c r="F191"/>
      <c r="G191"/>
      <c r="H191"/>
      <c r="I191"/>
      <c r="J191"/>
    </row>
    <row r="192" spans="1:10" ht="18" x14ac:dyDescent="0.25">
      <c r="A192" s="4" t="s">
        <v>1</v>
      </c>
      <c r="B192" s="2" t="s">
        <v>813</v>
      </c>
      <c r="F192"/>
      <c r="G192"/>
      <c r="H192"/>
      <c r="I192"/>
      <c r="J192"/>
    </row>
    <row r="193" spans="1:10" ht="14.25" x14ac:dyDescent="0.2">
      <c r="F193"/>
      <c r="G193"/>
      <c r="H193"/>
      <c r="I193"/>
      <c r="J193"/>
    </row>
    <row r="194" spans="1:10" ht="17.25" customHeight="1" x14ac:dyDescent="0.25">
      <c r="A194" s="120" t="s">
        <v>814</v>
      </c>
      <c r="B194" s="87" t="s">
        <v>823</v>
      </c>
      <c r="C194" s="76"/>
      <c r="D194" s="1"/>
      <c r="E194" s="1"/>
      <c r="F194"/>
      <c r="G194"/>
      <c r="H194"/>
      <c r="I194"/>
      <c r="J194"/>
    </row>
    <row r="195" spans="1:10" ht="18" x14ac:dyDescent="0.25">
      <c r="A195" s="84" t="s">
        <v>815</v>
      </c>
      <c r="B195" s="77">
        <v>4.9261083743842365E-3</v>
      </c>
      <c r="C195" s="77"/>
      <c r="D195" s="116"/>
      <c r="E195" s="116"/>
      <c r="F195"/>
      <c r="G195"/>
      <c r="H195"/>
      <c r="I195"/>
      <c r="J195"/>
    </row>
    <row r="196" spans="1:10" ht="18" x14ac:dyDescent="0.25">
      <c r="A196" s="84" t="s">
        <v>816</v>
      </c>
      <c r="B196" s="77">
        <v>1.4778325123152709E-2</v>
      </c>
      <c r="C196" s="77"/>
      <c r="D196" s="116"/>
      <c r="E196" s="116"/>
      <c r="F196"/>
      <c r="G196"/>
      <c r="H196"/>
      <c r="I196"/>
      <c r="J196"/>
    </row>
    <row r="197" spans="1:10" ht="18" x14ac:dyDescent="0.25">
      <c r="A197" s="173" t="s">
        <v>817</v>
      </c>
      <c r="B197" s="174">
        <v>4.9261083743842365E-3</v>
      </c>
      <c r="C197" s="116"/>
      <c r="D197" s="116"/>
      <c r="E197" s="116"/>
      <c r="F197"/>
      <c r="G197"/>
      <c r="H197"/>
      <c r="I197"/>
      <c r="J197"/>
    </row>
    <row r="198" spans="1:10" ht="18" x14ac:dyDescent="0.25">
      <c r="A198" s="173" t="s">
        <v>818</v>
      </c>
      <c r="B198" s="174">
        <v>8.2101806239737278E-3</v>
      </c>
      <c r="C198" s="116"/>
      <c r="D198" s="116"/>
      <c r="E198" s="116"/>
      <c r="F198"/>
      <c r="G198"/>
      <c r="H198"/>
      <c r="I198"/>
      <c r="J198"/>
    </row>
    <row r="199" spans="1:10" ht="18" x14ac:dyDescent="0.25">
      <c r="A199" s="173" t="s">
        <v>819</v>
      </c>
      <c r="B199" s="174">
        <v>3.2840722495894909E-3</v>
      </c>
      <c r="C199" s="116"/>
      <c r="D199" s="116"/>
      <c r="E199" s="116"/>
      <c r="F199"/>
      <c r="G199"/>
      <c r="H199"/>
      <c r="I199"/>
      <c r="J199"/>
    </row>
    <row r="200" spans="1:10" ht="18" x14ac:dyDescent="0.25">
      <c r="A200" s="173" t="s">
        <v>820</v>
      </c>
      <c r="B200" s="174">
        <v>4.9261083743842365E-3</v>
      </c>
      <c r="C200" s="116"/>
      <c r="D200" s="116"/>
      <c r="E200" s="116"/>
      <c r="F200"/>
      <c r="G200"/>
      <c r="H200"/>
      <c r="I200"/>
      <c r="J200"/>
    </row>
    <row r="201" spans="1:10" ht="18" x14ac:dyDescent="0.25">
      <c r="A201" s="173" t="s">
        <v>821</v>
      </c>
      <c r="B201" s="174">
        <v>0.89819376026272579</v>
      </c>
      <c r="C201" s="116"/>
      <c r="D201" s="116"/>
      <c r="E201" s="116"/>
      <c r="F201"/>
      <c r="G201"/>
      <c r="H201"/>
      <c r="I201"/>
      <c r="J201"/>
    </row>
    <row r="202" spans="1:10" ht="18" x14ac:dyDescent="0.25">
      <c r="A202" s="173" t="s">
        <v>822</v>
      </c>
      <c r="B202" s="174">
        <v>1.1494252873563218E-2</v>
      </c>
      <c r="C202" s="116"/>
      <c r="D202" s="116"/>
      <c r="E202" s="116"/>
      <c r="F202"/>
      <c r="G202"/>
      <c r="H202"/>
      <c r="I202"/>
      <c r="J202"/>
    </row>
    <row r="203" spans="1:10" ht="18" x14ac:dyDescent="0.25">
      <c r="A203" s="173" t="s">
        <v>198</v>
      </c>
      <c r="B203" s="174">
        <v>4.9261083743842367E-2</v>
      </c>
      <c r="C203" s="116"/>
      <c r="D203" s="116"/>
      <c r="E203" s="116"/>
      <c r="F203" s="155"/>
      <c r="G203" s="155"/>
      <c r="H203" s="155"/>
      <c r="I203" s="155"/>
      <c r="J203" s="155"/>
    </row>
    <row r="204" spans="1:10" ht="18" x14ac:dyDescent="0.25">
      <c r="A204" s="1" t="s">
        <v>4</v>
      </c>
      <c r="B204" s="102">
        <f>SUBTOTAL(109,Table4472737476[% total (n=609)])</f>
        <v>1</v>
      </c>
      <c r="C204" s="102"/>
      <c r="D204" s="102"/>
      <c r="E204" s="102"/>
      <c r="F204"/>
      <c r="G204"/>
      <c r="H204"/>
      <c r="I204"/>
      <c r="J204"/>
    </row>
    <row r="205" spans="1:10" ht="14.25" x14ac:dyDescent="0.2">
      <c r="A205"/>
      <c r="B205"/>
      <c r="C205"/>
      <c r="D205"/>
      <c r="E205"/>
      <c r="F205"/>
      <c r="G205"/>
      <c r="H205"/>
      <c r="I205"/>
      <c r="J205"/>
    </row>
    <row r="206" spans="1:10" ht="14.25" x14ac:dyDescent="0.2">
      <c r="A206"/>
      <c r="B206"/>
      <c r="C206"/>
      <c r="D206"/>
      <c r="E206"/>
      <c r="F206"/>
      <c r="G206"/>
      <c r="H206"/>
      <c r="I206"/>
      <c r="J206"/>
    </row>
    <row r="207" spans="1:10" ht="14.25" x14ac:dyDescent="0.2">
      <c r="A207"/>
      <c r="B207"/>
      <c r="C207"/>
      <c r="D207"/>
      <c r="E207"/>
      <c r="F207"/>
      <c r="G207"/>
      <c r="H207"/>
      <c r="I207"/>
      <c r="J207"/>
    </row>
    <row r="208" spans="1:10" ht="18" x14ac:dyDescent="0.25">
      <c r="A208" s="3" t="s">
        <v>829</v>
      </c>
      <c r="B208" s="3" t="s">
        <v>466</v>
      </c>
      <c r="C208"/>
      <c r="D208"/>
      <c r="E208"/>
      <c r="F208"/>
      <c r="G208"/>
      <c r="H208"/>
      <c r="I208"/>
      <c r="J208"/>
    </row>
    <row r="209" spans="1:10" ht="18" x14ac:dyDescent="0.25">
      <c r="A209" s="4" t="s">
        <v>1</v>
      </c>
      <c r="B209" s="2" t="s">
        <v>830</v>
      </c>
      <c r="C209"/>
      <c r="D209"/>
      <c r="E209"/>
      <c r="F209"/>
      <c r="G209"/>
      <c r="H209"/>
      <c r="I209"/>
      <c r="J209"/>
    </row>
    <row r="210" spans="1:10" ht="14.25" x14ac:dyDescent="0.2">
      <c r="C210"/>
      <c r="D210"/>
      <c r="E210"/>
      <c r="F210"/>
      <c r="G210"/>
      <c r="H210"/>
      <c r="I210"/>
      <c r="J210"/>
    </row>
    <row r="211" spans="1:10" ht="18" x14ac:dyDescent="0.2">
      <c r="A211" s="87"/>
      <c r="B211" s="87"/>
      <c r="C211"/>
      <c r="D211"/>
      <c r="E211"/>
      <c r="F211"/>
      <c r="G211"/>
      <c r="H211"/>
      <c r="I211"/>
      <c r="J211"/>
    </row>
    <row r="212" spans="1:10" ht="21" customHeight="1" x14ac:dyDescent="0.2">
      <c r="A212" s="87" t="s">
        <v>831</v>
      </c>
      <c r="B212" s="87" t="s">
        <v>823</v>
      </c>
      <c r="C212"/>
      <c r="D212"/>
      <c r="E212"/>
      <c r="F212"/>
      <c r="G212"/>
      <c r="H212"/>
      <c r="I212"/>
      <c r="J212"/>
    </row>
    <row r="213" spans="1:10" ht="18" x14ac:dyDescent="0.2">
      <c r="A213" s="84" t="s">
        <v>826</v>
      </c>
      <c r="B213" s="172">
        <v>4.7619047619047616E-2</v>
      </c>
      <c r="C213"/>
      <c r="D213"/>
      <c r="E213"/>
      <c r="F213"/>
      <c r="G213"/>
      <c r="H213"/>
      <c r="I213"/>
      <c r="J213"/>
    </row>
    <row r="214" spans="1:10" ht="18" x14ac:dyDescent="0.2">
      <c r="A214" s="84" t="s">
        <v>827</v>
      </c>
      <c r="B214" s="172">
        <v>0.1116584564860427</v>
      </c>
      <c r="C214"/>
      <c r="D214"/>
      <c r="E214"/>
      <c r="F214"/>
      <c r="G214"/>
      <c r="H214"/>
      <c r="I214"/>
      <c r="J214"/>
    </row>
    <row r="215" spans="1:10" ht="18" x14ac:dyDescent="0.2">
      <c r="A215" s="84" t="s">
        <v>828</v>
      </c>
      <c r="B215" s="172">
        <v>2.7914614121510674E-2</v>
      </c>
      <c r="C215"/>
      <c r="D215"/>
      <c r="E215"/>
      <c r="F215"/>
      <c r="G215"/>
      <c r="H215"/>
      <c r="I215"/>
      <c r="J215"/>
    </row>
    <row r="216" spans="1:10" ht="18" x14ac:dyDescent="0.2">
      <c r="A216" s="84" t="s">
        <v>824</v>
      </c>
      <c r="B216" s="172">
        <v>0.44991789819376027</v>
      </c>
      <c r="C216"/>
      <c r="D216"/>
      <c r="E216"/>
    </row>
    <row r="217" spans="1:10" ht="18" x14ac:dyDescent="0.2">
      <c r="A217" s="84" t="s">
        <v>825</v>
      </c>
      <c r="B217" s="172">
        <v>0.36288998357963875</v>
      </c>
      <c r="C217"/>
      <c r="D217"/>
      <c r="E217"/>
    </row>
    <row r="218" spans="1:10" ht="18" x14ac:dyDescent="0.25">
      <c r="A218" s="117"/>
      <c r="B218" s="117"/>
      <c r="C218"/>
      <c r="D218"/>
      <c r="E218"/>
    </row>
    <row r="219" spans="1:10" ht="14.25" x14ac:dyDescent="0.2">
      <c r="A219"/>
      <c r="B219"/>
      <c r="C219"/>
      <c r="D219"/>
      <c r="E219"/>
    </row>
    <row r="220" spans="1:10" ht="14.25" x14ac:dyDescent="0.2">
      <c r="C220"/>
      <c r="D220"/>
      <c r="E220"/>
    </row>
    <row r="221" spans="1:10" ht="18" x14ac:dyDescent="0.25">
      <c r="A221" s="3" t="s">
        <v>841</v>
      </c>
      <c r="B221" s="3" t="s">
        <v>844</v>
      </c>
      <c r="C221"/>
      <c r="D221"/>
      <c r="E221"/>
    </row>
    <row r="222" spans="1:10" ht="18" x14ac:dyDescent="0.25">
      <c r="A222" s="4" t="s">
        <v>1</v>
      </c>
      <c r="B222" s="2" t="s">
        <v>845</v>
      </c>
      <c r="C222"/>
      <c r="D222"/>
      <c r="E222"/>
    </row>
    <row r="223" spans="1:10" ht="14.25" x14ac:dyDescent="0.2">
      <c r="C223"/>
      <c r="D223"/>
      <c r="E223"/>
    </row>
    <row r="224" spans="1:10" ht="18" x14ac:dyDescent="0.2">
      <c r="A224" s="87"/>
      <c r="B224" s="76"/>
      <c r="C224"/>
      <c r="D224"/>
      <c r="E224"/>
    </row>
    <row r="225" spans="1:6" ht="37.5" customHeight="1" x14ac:dyDescent="0.2">
      <c r="A225" s="87" t="s">
        <v>847</v>
      </c>
      <c r="B225" s="76" t="s">
        <v>823</v>
      </c>
      <c r="C225"/>
      <c r="D225"/>
      <c r="E225"/>
    </row>
    <row r="226" spans="1:6" ht="18" x14ac:dyDescent="0.25">
      <c r="A226" s="82" t="s">
        <v>22</v>
      </c>
      <c r="B226" s="204">
        <v>0.43349753694581283</v>
      </c>
      <c r="C226"/>
      <c r="D226"/>
      <c r="E226"/>
    </row>
    <row r="227" spans="1:6" ht="18" x14ac:dyDescent="0.25">
      <c r="A227" s="82" t="s">
        <v>21</v>
      </c>
      <c r="B227" s="204">
        <v>0.56650246305418717</v>
      </c>
      <c r="C227" s="155"/>
      <c r="D227" s="155"/>
      <c r="E227" s="155"/>
    </row>
    <row r="228" spans="1:6" ht="14.25" x14ac:dyDescent="0.2">
      <c r="B228" s="205"/>
      <c r="C228" s="155"/>
      <c r="D228" s="155"/>
      <c r="E228" s="155"/>
    </row>
    <row r="229" spans="1:6" ht="14.25" x14ac:dyDescent="0.2">
      <c r="B229" s="205"/>
      <c r="C229" s="155"/>
      <c r="D229" s="155"/>
      <c r="E229" s="155"/>
    </row>
    <row r="230" spans="1:6" ht="14.25" x14ac:dyDescent="0.2">
      <c r="C230" s="155"/>
      <c r="D230" s="155"/>
      <c r="E230" s="155"/>
    </row>
    <row r="231" spans="1:6" ht="18" x14ac:dyDescent="0.25">
      <c r="A231" s="3" t="s">
        <v>843</v>
      </c>
      <c r="B231" s="3" t="s">
        <v>842</v>
      </c>
      <c r="C231" s="155"/>
      <c r="D231" s="155"/>
      <c r="E231" s="155"/>
    </row>
    <row r="232" spans="1:6" ht="18" x14ac:dyDescent="0.25">
      <c r="A232" s="4" t="s">
        <v>1</v>
      </c>
      <c r="B232" s="2" t="s">
        <v>846</v>
      </c>
      <c r="C232" s="155"/>
      <c r="D232" s="155"/>
      <c r="E232" s="155"/>
    </row>
    <row r="233" spans="1:6" ht="14.25" hidden="1" x14ac:dyDescent="0.2">
      <c r="C233" s="155"/>
      <c r="D233" s="155"/>
      <c r="E233" s="155"/>
    </row>
    <row r="234" spans="1:6" ht="18" x14ac:dyDescent="0.2">
      <c r="A234" s="87"/>
      <c r="B234" s="87"/>
      <c r="C234"/>
      <c r="D234"/>
      <c r="E234"/>
    </row>
    <row r="235" spans="1:6" ht="16.5" customHeight="1" x14ac:dyDescent="0.2">
      <c r="A235" s="87" t="s">
        <v>831</v>
      </c>
      <c r="B235" s="87" t="s">
        <v>823</v>
      </c>
      <c r="C235"/>
      <c r="D235"/>
      <c r="E235"/>
    </row>
    <row r="236" spans="1:6" ht="18" x14ac:dyDescent="0.2">
      <c r="A236" s="84" t="s">
        <v>832</v>
      </c>
      <c r="B236" s="172">
        <v>2.4630541871921183E-2</v>
      </c>
      <c r="C236"/>
      <c r="D236"/>
      <c r="E236"/>
    </row>
    <row r="237" spans="1:6" ht="18" x14ac:dyDescent="0.2">
      <c r="A237" s="84" t="s">
        <v>630</v>
      </c>
      <c r="B237" s="172">
        <v>0.10016420361247948</v>
      </c>
      <c r="C237"/>
      <c r="D237"/>
      <c r="E237"/>
    </row>
    <row r="238" spans="1:6" ht="18" x14ac:dyDescent="0.2">
      <c r="A238" s="84" t="s">
        <v>631</v>
      </c>
      <c r="B238" s="172">
        <v>3.2840722495894911E-2</v>
      </c>
      <c r="C238"/>
      <c r="D238" s="155"/>
      <c r="E238" s="155"/>
      <c r="F238" s="155"/>
    </row>
    <row r="239" spans="1:6" ht="18" x14ac:dyDescent="0.2">
      <c r="A239" s="84" t="s">
        <v>833</v>
      </c>
      <c r="B239" s="172">
        <v>5.5829228243021348E-2</v>
      </c>
      <c r="C239"/>
      <c r="D239" s="155"/>
      <c r="E239" s="155"/>
      <c r="F239" s="155"/>
    </row>
    <row r="240" spans="1:6" ht="18" x14ac:dyDescent="0.2">
      <c r="A240" s="84" t="s">
        <v>834</v>
      </c>
      <c r="B240" s="172">
        <v>9.852216748768473E-3</v>
      </c>
      <c r="C240"/>
      <c r="D240" s="155"/>
      <c r="E240" s="155"/>
      <c r="F240" s="155"/>
    </row>
    <row r="241" spans="1:6" ht="18" x14ac:dyDescent="0.2">
      <c r="A241" s="84" t="s">
        <v>836</v>
      </c>
      <c r="B241" s="172">
        <v>0.14778325123152711</v>
      </c>
      <c r="C241"/>
      <c r="D241" s="155"/>
      <c r="E241" s="155"/>
      <c r="F241" s="155"/>
    </row>
    <row r="242" spans="1:6" ht="18" x14ac:dyDescent="0.2">
      <c r="A242" s="84" t="s">
        <v>837</v>
      </c>
      <c r="B242" s="172">
        <v>4.1050903119868636E-2</v>
      </c>
      <c r="C242"/>
      <c r="D242" s="155"/>
      <c r="E242" s="155"/>
      <c r="F242" s="155"/>
    </row>
    <row r="243" spans="1:6" ht="18" x14ac:dyDescent="0.2">
      <c r="A243" s="84" t="s">
        <v>838</v>
      </c>
      <c r="B243" s="172">
        <v>6.4039408866995079E-2</v>
      </c>
      <c r="C243"/>
      <c r="D243" s="155"/>
      <c r="E243" s="155"/>
      <c r="F243" s="155"/>
    </row>
    <row r="244" spans="1:6" ht="18" x14ac:dyDescent="0.2">
      <c r="A244" s="84" t="s">
        <v>41</v>
      </c>
      <c r="B244" s="172">
        <v>0.21839080459770116</v>
      </c>
      <c r="C244"/>
      <c r="D244" s="155"/>
      <c r="E244" s="155"/>
      <c r="F244" s="155"/>
    </row>
    <row r="245" spans="1:6" ht="18" x14ac:dyDescent="0.2">
      <c r="A245" s="84" t="s">
        <v>633</v>
      </c>
      <c r="B245" s="172">
        <v>1.9704433497536946E-2</v>
      </c>
      <c r="C245"/>
      <c r="D245" s="155"/>
      <c r="E245" s="155"/>
      <c r="F245" s="155"/>
    </row>
    <row r="246" spans="1:6" ht="18" x14ac:dyDescent="0.2">
      <c r="A246" s="84" t="s">
        <v>839</v>
      </c>
      <c r="B246" s="172">
        <v>6.7323481116584566E-2</v>
      </c>
      <c r="C246"/>
      <c r="D246" s="155"/>
      <c r="E246" s="155"/>
      <c r="F246" s="155"/>
    </row>
    <row r="247" spans="1:6" ht="18" x14ac:dyDescent="0.2">
      <c r="A247" s="84" t="s">
        <v>840</v>
      </c>
      <c r="B247" s="172">
        <v>4.9261083743842365E-3</v>
      </c>
      <c r="C247"/>
      <c r="D247" s="155"/>
      <c r="E247" s="155"/>
      <c r="F247" s="155"/>
    </row>
    <row r="248" spans="1:6" ht="18" x14ac:dyDescent="0.2">
      <c r="A248" s="84" t="s">
        <v>176</v>
      </c>
      <c r="B248" s="172">
        <v>0.11330049261083744</v>
      </c>
      <c r="C248"/>
      <c r="D248" s="155"/>
      <c r="E248" s="155"/>
      <c r="F248" s="155"/>
    </row>
    <row r="249" spans="1:6" ht="18" x14ac:dyDescent="0.2">
      <c r="A249" s="84" t="s">
        <v>835</v>
      </c>
      <c r="B249" s="172">
        <v>0.10016420361247948</v>
      </c>
      <c r="C249"/>
      <c r="D249"/>
      <c r="E249"/>
    </row>
    <row r="250" spans="1:6" ht="14.25" x14ac:dyDescent="0.2">
      <c r="C250"/>
      <c r="D250"/>
      <c r="E250"/>
    </row>
  </sheetData>
  <mergeCells count="1">
    <mergeCell ref="A1:H1"/>
  </mergeCell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Header>&amp;C2013 Victorian AOD Workforce Survey aggregate  report</oddHeader>
    <oddFooter>&amp;A</oddFooter>
  </headerFooter>
  <rowBreaks count="4" manualBreakCount="4">
    <brk id="46" max="11" man="1"/>
    <brk id="95" max="11" man="1"/>
    <brk id="139" max="16383" man="1"/>
    <brk id="174" max="16383" man="1"/>
  </rowBreaks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"/>
  <sheetViews>
    <sheetView zoomScale="75" zoomScaleNormal="75" zoomScaleSheetLayoutView="75" workbookViewId="0">
      <selection sqref="A1:D1"/>
    </sheetView>
  </sheetViews>
  <sheetFormatPr defaultRowHeight="18.75" customHeight="1" x14ac:dyDescent="0.25"/>
  <cols>
    <col min="1" max="1" width="51.19921875" style="2" customWidth="1"/>
    <col min="2" max="2" width="15.59765625" style="2" customWidth="1"/>
    <col min="3" max="3" width="21.796875" style="2" customWidth="1"/>
    <col min="4" max="4" width="20.69921875" style="2" customWidth="1"/>
    <col min="5" max="5" width="11.59765625" style="2" customWidth="1"/>
    <col min="6" max="16384" width="8.796875" style="2"/>
  </cols>
  <sheetData>
    <row r="1" spans="1:4" s="33" customFormat="1" ht="55.5" customHeight="1" x14ac:dyDescent="0.2">
      <c r="A1" s="244" t="s">
        <v>969</v>
      </c>
      <c r="B1" s="244"/>
      <c r="C1" s="244"/>
      <c r="D1" s="244"/>
    </row>
    <row r="3" spans="1:4" ht="18.75" customHeight="1" x14ac:dyDescent="0.25">
      <c r="A3" s="3" t="s">
        <v>32</v>
      </c>
      <c r="B3" s="168" t="s">
        <v>248</v>
      </c>
    </row>
    <row r="4" spans="1:4" ht="18.75" customHeight="1" x14ac:dyDescent="0.25">
      <c r="A4" s="4" t="s">
        <v>1</v>
      </c>
      <c r="B4" s="2" t="s">
        <v>665</v>
      </c>
    </row>
    <row r="5" spans="1:4" ht="18.75" customHeight="1" x14ac:dyDescent="0.25">
      <c r="A5" s="23"/>
      <c r="D5" s="6"/>
    </row>
    <row r="6" spans="1:4" ht="36" x14ac:dyDescent="0.25">
      <c r="A6" s="122" t="s">
        <v>249</v>
      </c>
      <c r="B6" s="87" t="s">
        <v>904</v>
      </c>
      <c r="C6" s="87" t="s">
        <v>250</v>
      </c>
      <c r="D6" s="6"/>
    </row>
    <row r="7" spans="1:4" ht="18.75" customHeight="1" x14ac:dyDescent="0.25">
      <c r="A7" s="124" t="s">
        <v>65</v>
      </c>
      <c r="B7" s="125">
        <v>125</v>
      </c>
      <c r="C7" s="125">
        <v>20</v>
      </c>
      <c r="D7" s="6"/>
    </row>
    <row r="8" spans="1:4" ht="18.75" customHeight="1" x14ac:dyDescent="0.25">
      <c r="A8" s="124" t="s">
        <v>51</v>
      </c>
      <c r="B8" s="125">
        <v>152</v>
      </c>
      <c r="C8" s="125">
        <v>11</v>
      </c>
      <c r="D8" s="6"/>
    </row>
    <row r="9" spans="1:4" ht="18.75" customHeight="1" x14ac:dyDescent="0.25">
      <c r="A9" s="124" t="s">
        <v>251</v>
      </c>
      <c r="B9" s="125">
        <v>90</v>
      </c>
      <c r="C9" s="125">
        <v>23</v>
      </c>
      <c r="D9" s="6"/>
    </row>
    <row r="10" spans="1:4" ht="18.75" customHeight="1" x14ac:dyDescent="0.25">
      <c r="A10" s="124" t="s">
        <v>252</v>
      </c>
      <c r="B10" s="125">
        <v>54</v>
      </c>
      <c r="C10" s="125">
        <v>15</v>
      </c>
      <c r="D10" s="6"/>
    </row>
    <row r="11" spans="1:4" ht="18.75" customHeight="1" x14ac:dyDescent="0.25">
      <c r="A11" s="124" t="s">
        <v>48</v>
      </c>
      <c r="B11" s="125">
        <v>165</v>
      </c>
      <c r="C11" s="125">
        <v>21</v>
      </c>
      <c r="D11" s="6"/>
    </row>
    <row r="12" spans="1:4" ht="36" x14ac:dyDescent="0.25">
      <c r="A12" s="124" t="s">
        <v>253</v>
      </c>
      <c r="B12" s="75">
        <v>243</v>
      </c>
      <c r="C12" s="75">
        <v>32</v>
      </c>
      <c r="D12" s="6"/>
    </row>
    <row r="13" spans="1:4" ht="18" x14ac:dyDescent="0.25">
      <c r="A13" s="124" t="s">
        <v>53</v>
      </c>
      <c r="B13" s="125">
        <v>44</v>
      </c>
      <c r="C13" s="125">
        <v>7</v>
      </c>
      <c r="D13" s="6"/>
    </row>
    <row r="14" spans="1:4" ht="18.75" customHeight="1" x14ac:dyDescent="0.25">
      <c r="A14" s="124" t="s">
        <v>254</v>
      </c>
      <c r="B14" s="125">
        <v>133</v>
      </c>
      <c r="C14" s="125">
        <v>36</v>
      </c>
    </row>
    <row r="15" spans="1:4" ht="18" x14ac:dyDescent="0.25">
      <c r="A15" s="124" t="s">
        <v>66</v>
      </c>
      <c r="B15" s="125">
        <v>72</v>
      </c>
      <c r="C15" s="125">
        <v>24</v>
      </c>
    </row>
    <row r="16" spans="1:4" ht="18" x14ac:dyDescent="0.25">
      <c r="A16" s="124" t="s">
        <v>137</v>
      </c>
      <c r="B16" s="125">
        <v>122</v>
      </c>
      <c r="C16" s="125">
        <v>31</v>
      </c>
    </row>
    <row r="17" spans="1:3" ht="18" x14ac:dyDescent="0.25">
      <c r="A17" s="124" t="s">
        <v>49</v>
      </c>
      <c r="B17" s="125">
        <v>45</v>
      </c>
      <c r="C17" s="125">
        <v>9</v>
      </c>
    </row>
    <row r="18" spans="1:3" ht="18" x14ac:dyDescent="0.25">
      <c r="A18" s="124" t="s">
        <v>255</v>
      </c>
      <c r="B18" s="125">
        <v>83</v>
      </c>
      <c r="C18" s="125">
        <v>37</v>
      </c>
    </row>
    <row r="19" spans="1:3" ht="18.75" customHeight="1" x14ac:dyDescent="0.25">
      <c r="A19" s="124" t="s">
        <v>256</v>
      </c>
      <c r="B19" s="125">
        <v>76</v>
      </c>
      <c r="C19" s="125">
        <v>25</v>
      </c>
    </row>
    <row r="20" spans="1:3" ht="18.75" customHeight="1" x14ac:dyDescent="0.25">
      <c r="A20" s="124" t="s">
        <v>52</v>
      </c>
      <c r="B20" s="125">
        <v>131</v>
      </c>
      <c r="C20" s="125">
        <v>29</v>
      </c>
    </row>
    <row r="21" spans="1:3" ht="18.75" customHeight="1" x14ac:dyDescent="0.25">
      <c r="A21" s="124" t="s">
        <v>257</v>
      </c>
      <c r="B21" s="125">
        <v>49</v>
      </c>
      <c r="C21" s="125">
        <v>19</v>
      </c>
    </row>
    <row r="22" spans="1:3" ht="18.75" customHeight="1" x14ac:dyDescent="0.25">
      <c r="A22" s="124" t="s">
        <v>59</v>
      </c>
      <c r="B22" s="125">
        <v>70</v>
      </c>
      <c r="C22" s="125">
        <v>28</v>
      </c>
    </row>
    <row r="23" spans="1:3" ht="18.75" customHeight="1" x14ac:dyDescent="0.25">
      <c r="A23" s="124" t="s">
        <v>60</v>
      </c>
      <c r="B23" s="125">
        <v>75</v>
      </c>
      <c r="C23" s="125">
        <v>24</v>
      </c>
    </row>
    <row r="24" spans="1:3" ht="18.75" customHeight="1" x14ac:dyDescent="0.25">
      <c r="A24" s="124" t="s">
        <v>258</v>
      </c>
      <c r="B24" s="125">
        <v>21</v>
      </c>
      <c r="C24" s="125">
        <v>7</v>
      </c>
    </row>
    <row r="25" spans="1:3" ht="18.75" customHeight="1" x14ac:dyDescent="0.25">
      <c r="A25" s="124" t="s">
        <v>56</v>
      </c>
      <c r="B25" s="125">
        <v>44</v>
      </c>
      <c r="C25" s="125">
        <v>5</v>
      </c>
    </row>
    <row r="26" spans="1:3" ht="18.75" customHeight="1" x14ac:dyDescent="0.25">
      <c r="A26" s="124" t="s">
        <v>58</v>
      </c>
      <c r="B26" s="125">
        <v>14</v>
      </c>
      <c r="C26" s="125">
        <v>4</v>
      </c>
    </row>
    <row r="27" spans="1:3" ht="18.75" customHeight="1" x14ac:dyDescent="0.25">
      <c r="A27" s="124" t="s">
        <v>259</v>
      </c>
      <c r="B27" s="125">
        <v>53</v>
      </c>
      <c r="C27" s="125">
        <v>10</v>
      </c>
    </row>
    <row r="28" spans="1:3" ht="18" x14ac:dyDescent="0.25">
      <c r="A28" s="124" t="s">
        <v>260</v>
      </c>
      <c r="B28" s="125">
        <v>27</v>
      </c>
      <c r="C28" s="125">
        <v>10</v>
      </c>
    </row>
    <row r="29" spans="1:3" ht="18.75" customHeight="1" x14ac:dyDescent="0.25">
      <c r="A29" s="124" t="s">
        <v>57</v>
      </c>
      <c r="B29" s="125">
        <v>9</v>
      </c>
      <c r="C29" s="125">
        <v>0</v>
      </c>
    </row>
    <row r="30" spans="1:3" ht="18.75" customHeight="1" x14ac:dyDescent="0.25">
      <c r="A30" s="124" t="s">
        <v>55</v>
      </c>
      <c r="B30" s="125">
        <v>12</v>
      </c>
      <c r="C30" s="125">
        <v>5</v>
      </c>
    </row>
    <row r="31" spans="1:3" ht="18.75" customHeight="1" x14ac:dyDescent="0.25">
      <c r="A31" s="124" t="s">
        <v>261</v>
      </c>
      <c r="B31" s="125">
        <v>53</v>
      </c>
      <c r="C31" s="125">
        <v>14</v>
      </c>
    </row>
    <row r="32" spans="1:3" ht="18.75" customHeight="1" x14ac:dyDescent="0.25">
      <c r="A32" s="124" t="s">
        <v>262</v>
      </c>
      <c r="B32" s="125">
        <v>75</v>
      </c>
      <c r="C32" s="125">
        <v>26</v>
      </c>
    </row>
    <row r="33" spans="1:3" ht="18.75" customHeight="1" x14ac:dyDescent="0.25">
      <c r="A33" s="124" t="s">
        <v>54</v>
      </c>
      <c r="B33" s="125">
        <v>5</v>
      </c>
      <c r="C33" s="125">
        <v>0</v>
      </c>
    </row>
    <row r="34" spans="1:3" ht="36" x14ac:dyDescent="0.25">
      <c r="A34" s="124" t="s">
        <v>64</v>
      </c>
      <c r="B34" s="125">
        <v>31</v>
      </c>
      <c r="C34" s="125">
        <v>10</v>
      </c>
    </row>
    <row r="35" spans="1:3" ht="36" x14ac:dyDescent="0.25">
      <c r="A35" s="124" t="s">
        <v>63</v>
      </c>
      <c r="B35" s="125">
        <v>146</v>
      </c>
      <c r="C35" s="125">
        <v>49</v>
      </c>
    </row>
    <row r="36" spans="1:3" ht="18.75" customHeight="1" x14ac:dyDescent="0.25">
      <c r="A36" s="124" t="s">
        <v>263</v>
      </c>
      <c r="B36" s="125">
        <v>174</v>
      </c>
      <c r="C36" s="125">
        <v>80</v>
      </c>
    </row>
    <row r="37" spans="1:3" ht="36" x14ac:dyDescent="0.25">
      <c r="A37" s="124" t="s">
        <v>889</v>
      </c>
      <c r="B37" s="125">
        <v>34</v>
      </c>
      <c r="C37" s="125">
        <v>16</v>
      </c>
    </row>
    <row r="38" spans="1:3" ht="18.75" customHeight="1" x14ac:dyDescent="0.25">
      <c r="A38" s="124" t="s">
        <v>61</v>
      </c>
      <c r="B38" s="125">
        <v>195</v>
      </c>
      <c r="C38" s="125">
        <v>71</v>
      </c>
    </row>
    <row r="39" spans="1:3" ht="18.75" customHeight="1" x14ac:dyDescent="0.25">
      <c r="A39" s="124" t="s">
        <v>264</v>
      </c>
      <c r="B39" s="125">
        <v>5</v>
      </c>
      <c r="C39" s="125">
        <v>1</v>
      </c>
    </row>
    <row r="40" spans="1:3" ht="18.75" customHeight="1" x14ac:dyDescent="0.25">
      <c r="A40" s="124" t="s">
        <v>62</v>
      </c>
      <c r="B40" s="125">
        <v>70</v>
      </c>
      <c r="C40" s="125">
        <v>14</v>
      </c>
    </row>
    <row r="41" spans="1:3" ht="18.75" customHeight="1" x14ac:dyDescent="0.25">
      <c r="A41" s="124" t="s">
        <v>265</v>
      </c>
      <c r="B41" s="125">
        <v>93</v>
      </c>
      <c r="C41" s="125">
        <v>13</v>
      </c>
    </row>
    <row r="45" spans="1:3" ht="18.75" customHeight="1" x14ac:dyDescent="0.25">
      <c r="A45" s="3" t="s">
        <v>77</v>
      </c>
      <c r="B45" s="3" t="s">
        <v>266</v>
      </c>
    </row>
    <row r="46" spans="1:3" ht="18.75" customHeight="1" x14ac:dyDescent="0.25">
      <c r="A46" s="4" t="s">
        <v>1</v>
      </c>
      <c r="B46" s="2" t="s">
        <v>666</v>
      </c>
    </row>
    <row r="47" spans="1:3" ht="18.75" customHeight="1" x14ac:dyDescent="0.25">
      <c r="A47" s="23"/>
      <c r="C47" s="6"/>
    </row>
    <row r="48" spans="1:3" ht="18.75" customHeight="1" x14ac:dyDescent="0.25">
      <c r="A48" s="120" t="s">
        <v>249</v>
      </c>
      <c r="B48" s="87" t="s">
        <v>18</v>
      </c>
      <c r="C48" s="6"/>
    </row>
    <row r="49" spans="1:3" ht="18.75" customHeight="1" x14ac:dyDescent="0.25">
      <c r="A49" s="124" t="s">
        <v>65</v>
      </c>
      <c r="B49" s="125">
        <v>72</v>
      </c>
      <c r="C49" s="6"/>
    </row>
    <row r="50" spans="1:3" ht="18.75" customHeight="1" x14ac:dyDescent="0.25">
      <c r="A50" s="124" t="s">
        <v>267</v>
      </c>
      <c r="B50" s="125">
        <v>69</v>
      </c>
      <c r="C50" s="6"/>
    </row>
    <row r="51" spans="1:3" ht="18.75" customHeight="1" x14ac:dyDescent="0.25">
      <c r="A51" s="124" t="s">
        <v>268</v>
      </c>
      <c r="B51" s="125">
        <v>98</v>
      </c>
      <c r="C51" s="6"/>
    </row>
    <row r="52" spans="1:3" ht="18.75" customHeight="1" x14ac:dyDescent="0.25">
      <c r="A52" s="124" t="s">
        <v>269</v>
      </c>
      <c r="B52" s="125">
        <v>26</v>
      </c>
      <c r="C52" s="6"/>
    </row>
    <row r="53" spans="1:3" ht="18.75" customHeight="1" x14ac:dyDescent="0.25">
      <c r="A53" s="124" t="s">
        <v>270</v>
      </c>
      <c r="B53" s="125">
        <v>64</v>
      </c>
      <c r="C53" s="6"/>
    </row>
    <row r="54" spans="1:3" ht="18.75" customHeight="1" x14ac:dyDescent="0.25">
      <c r="A54" s="124" t="s">
        <v>271</v>
      </c>
      <c r="B54" s="75">
        <v>44</v>
      </c>
      <c r="C54" s="6"/>
    </row>
    <row r="55" spans="1:3" ht="18.75" customHeight="1" x14ac:dyDescent="0.25">
      <c r="A55" s="124" t="s">
        <v>272</v>
      </c>
      <c r="B55" s="75">
        <v>148</v>
      </c>
      <c r="C55" s="6"/>
    </row>
    <row r="56" spans="1:3" ht="18.75" customHeight="1" x14ac:dyDescent="0.25">
      <c r="A56" s="124" t="s">
        <v>273</v>
      </c>
      <c r="B56" s="75">
        <v>18</v>
      </c>
      <c r="C56" s="6"/>
    </row>
    <row r="57" spans="1:3" ht="18.75" customHeight="1" x14ac:dyDescent="0.25">
      <c r="A57" s="124" t="s">
        <v>274</v>
      </c>
      <c r="B57" s="75">
        <v>67</v>
      </c>
      <c r="C57" s="6"/>
    </row>
    <row r="58" spans="1:3" ht="18.75" customHeight="1" x14ac:dyDescent="0.25">
      <c r="A58" s="124" t="s">
        <v>66</v>
      </c>
      <c r="B58" s="75">
        <v>92</v>
      </c>
      <c r="C58" s="6"/>
    </row>
    <row r="59" spans="1:3" ht="18.75" customHeight="1" x14ac:dyDescent="0.25">
      <c r="A59" s="124" t="s">
        <v>275</v>
      </c>
      <c r="B59" s="75">
        <v>74</v>
      </c>
    </row>
    <row r="60" spans="1:3" ht="18.75" customHeight="1" x14ac:dyDescent="0.25">
      <c r="A60" s="124" t="s">
        <v>52</v>
      </c>
      <c r="B60" s="75">
        <v>98</v>
      </c>
    </row>
    <row r="61" spans="1:3" ht="18.75" customHeight="1" x14ac:dyDescent="0.25">
      <c r="A61" s="124" t="s">
        <v>276</v>
      </c>
      <c r="B61" s="75">
        <v>93</v>
      </c>
    </row>
    <row r="62" spans="1:3" ht="18.75" customHeight="1" x14ac:dyDescent="0.25">
      <c r="A62" s="124" t="s">
        <v>277</v>
      </c>
      <c r="B62" s="75">
        <v>26</v>
      </c>
    </row>
    <row r="63" spans="1:3" ht="18.75" customHeight="1" x14ac:dyDescent="0.25">
      <c r="A63" s="124" t="s">
        <v>278</v>
      </c>
      <c r="B63" s="75">
        <v>38</v>
      </c>
    </row>
    <row r="64" spans="1:3" ht="18.75" customHeight="1" x14ac:dyDescent="0.25">
      <c r="A64" s="124" t="s">
        <v>279</v>
      </c>
      <c r="B64" s="75">
        <v>48</v>
      </c>
    </row>
    <row r="65" spans="1:2" ht="18.75" customHeight="1" x14ac:dyDescent="0.25">
      <c r="A65" s="124" t="s">
        <v>280</v>
      </c>
      <c r="B65" s="75">
        <v>28</v>
      </c>
    </row>
    <row r="66" spans="1:2" ht="18.75" customHeight="1" x14ac:dyDescent="0.25">
      <c r="A66" s="124" t="s">
        <v>281</v>
      </c>
      <c r="B66" s="75">
        <v>75</v>
      </c>
    </row>
    <row r="67" spans="1:2" ht="18.75" customHeight="1" x14ac:dyDescent="0.25">
      <c r="A67" s="124" t="s">
        <v>282</v>
      </c>
      <c r="B67" s="75">
        <v>54</v>
      </c>
    </row>
    <row r="68" spans="1:2" ht="18.75" customHeight="1" x14ac:dyDescent="0.25">
      <c r="A68" s="124" t="s">
        <v>283</v>
      </c>
      <c r="B68" s="75">
        <v>36</v>
      </c>
    </row>
    <row r="69" spans="1:2" ht="18.75" customHeight="1" x14ac:dyDescent="0.25">
      <c r="A69" s="124" t="s">
        <v>50</v>
      </c>
      <c r="B69" s="75">
        <v>31</v>
      </c>
    </row>
    <row r="70" spans="1:2" ht="18.75" customHeight="1" x14ac:dyDescent="0.25">
      <c r="A70" s="124" t="s">
        <v>284</v>
      </c>
      <c r="B70" s="75">
        <v>34</v>
      </c>
    </row>
    <row r="71" spans="1:2" ht="18.75" customHeight="1" x14ac:dyDescent="0.25">
      <c r="A71" s="124" t="s">
        <v>285</v>
      </c>
      <c r="B71" s="75">
        <v>30</v>
      </c>
    </row>
    <row r="72" spans="1:2" ht="18.75" customHeight="1" x14ac:dyDescent="0.25">
      <c r="A72" s="124" t="s">
        <v>286</v>
      </c>
      <c r="B72" s="75">
        <v>164</v>
      </c>
    </row>
    <row r="73" spans="1:2" ht="18.75" customHeight="1" x14ac:dyDescent="0.25">
      <c r="A73" s="124" t="s">
        <v>287</v>
      </c>
      <c r="B73" s="75">
        <v>63</v>
      </c>
    </row>
    <row r="74" spans="1:2" ht="18.75" customHeight="1" x14ac:dyDescent="0.25">
      <c r="A74" s="124" t="s">
        <v>288</v>
      </c>
      <c r="B74" s="75">
        <v>83</v>
      </c>
    </row>
    <row r="75" spans="1:2" ht="18.75" customHeight="1" x14ac:dyDescent="0.25">
      <c r="A75" s="124" t="s">
        <v>289</v>
      </c>
      <c r="B75" s="75">
        <v>38</v>
      </c>
    </row>
    <row r="76" spans="1:2" ht="18.75" customHeight="1" x14ac:dyDescent="0.25">
      <c r="B76" s="6"/>
    </row>
  </sheetData>
  <mergeCells count="1">
    <mergeCell ref="A1:D1"/>
  </mergeCells>
  <pageMargins left="0.23622047244094491" right="0.23622047244094491" top="0.74803149606299213" bottom="0.74803149606299213" header="0.31496062992125984" footer="0.31496062992125984"/>
  <pageSetup paperSize="9" scale="72" fitToHeight="0" orientation="portrait" r:id="rId1"/>
  <headerFooter>
    <oddHeader>&amp;C2013 Victorian AOD Workforce Survey aggregate  report</oddHeader>
    <oddFooter>&amp;A</oddFooter>
  </headerFooter>
  <rowBreaks count="1" manualBreakCount="1">
    <brk id="43" max="3" man="1"/>
  </rowBreaks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zoomScale="75" zoomScaleNormal="75" zoomScaleSheetLayoutView="75" workbookViewId="0">
      <selection sqref="A1:H1"/>
    </sheetView>
  </sheetViews>
  <sheetFormatPr defaultRowHeight="18.75" customHeight="1" x14ac:dyDescent="0.25"/>
  <cols>
    <col min="1" max="1" width="23.09765625" style="2" customWidth="1"/>
    <col min="2" max="2" width="42.59765625" style="2" bestFit="1" customWidth="1"/>
    <col min="3" max="3" width="33.796875" style="2" bestFit="1" customWidth="1"/>
    <col min="4" max="4" width="13.8984375" style="2" customWidth="1"/>
    <col min="5" max="5" width="29" style="2" customWidth="1"/>
    <col min="6" max="6" width="18.59765625" style="2" customWidth="1"/>
    <col min="7" max="7" width="19.296875" style="2" customWidth="1"/>
    <col min="8" max="8" width="20.69921875" style="2" customWidth="1"/>
    <col min="9" max="9" width="11.59765625" style="2" customWidth="1"/>
    <col min="10" max="16384" width="8.796875" style="2"/>
  </cols>
  <sheetData>
    <row r="1" spans="1:8" s="33" customFormat="1" ht="55.5" customHeight="1" x14ac:dyDescent="0.2">
      <c r="A1" s="244" t="s">
        <v>922</v>
      </c>
      <c r="B1" s="244"/>
      <c r="C1" s="244"/>
      <c r="D1" s="244"/>
      <c r="E1" s="244"/>
      <c r="F1" s="244"/>
      <c r="G1" s="244"/>
      <c r="H1" s="244"/>
    </row>
    <row r="3" spans="1:8" ht="18.75" customHeight="1" x14ac:dyDescent="0.25">
      <c r="A3" s="3" t="s">
        <v>655</v>
      </c>
      <c r="B3" s="3" t="s">
        <v>667</v>
      </c>
    </row>
    <row r="4" spans="1:8" ht="18.75" customHeight="1" x14ac:dyDescent="0.25">
      <c r="A4" s="4" t="s">
        <v>1</v>
      </c>
      <c r="B4" s="2" t="s">
        <v>950</v>
      </c>
    </row>
    <row r="5" spans="1:8" ht="18.75" customHeight="1" x14ac:dyDescent="0.25">
      <c r="A5" s="23"/>
    </row>
    <row r="6" spans="1:8" ht="45" customHeight="1" x14ac:dyDescent="0.25">
      <c r="A6" s="120" t="s">
        <v>122</v>
      </c>
      <c r="B6" s="87" t="s">
        <v>290</v>
      </c>
      <c r="C6" s="87" t="s">
        <v>291</v>
      </c>
      <c r="D6" s="87" t="s">
        <v>292</v>
      </c>
      <c r="E6" s="87" t="s">
        <v>293</v>
      </c>
      <c r="F6" s="87" t="s">
        <v>294</v>
      </c>
      <c r="G6" s="87" t="s">
        <v>295</v>
      </c>
    </row>
    <row r="7" spans="1:8" ht="18.75" customHeight="1" x14ac:dyDescent="0.25">
      <c r="A7" s="124" t="s">
        <v>2</v>
      </c>
      <c r="B7" s="126">
        <v>208.74949999999998</v>
      </c>
      <c r="C7" s="126">
        <v>10.7</v>
      </c>
      <c r="D7" s="128">
        <f>C7/B7</f>
        <v>5.125760780265342E-2</v>
      </c>
      <c r="E7" s="126">
        <v>300</v>
      </c>
      <c r="F7" s="126">
        <v>19</v>
      </c>
      <c r="G7" s="128">
        <f>F7/E7</f>
        <v>6.3333333333333339E-2</v>
      </c>
    </row>
    <row r="8" spans="1:8" ht="18.75" customHeight="1" x14ac:dyDescent="0.25">
      <c r="A8" s="124" t="s">
        <v>3</v>
      </c>
      <c r="B8" s="126">
        <v>836.53300000000002</v>
      </c>
      <c r="C8" s="126">
        <v>49.656999999999996</v>
      </c>
      <c r="D8" s="128">
        <f>C8/B8</f>
        <v>5.9360479502900659E-2</v>
      </c>
      <c r="E8" s="126">
        <v>1170</v>
      </c>
      <c r="F8" s="126">
        <v>59.6</v>
      </c>
      <c r="G8" s="128">
        <f t="shared" ref="G8" si="0">F8/E8</f>
        <v>5.0940170940170941E-2</v>
      </c>
    </row>
    <row r="9" spans="1:8" ht="18.75" customHeight="1" x14ac:dyDescent="0.25">
      <c r="A9" s="1" t="s">
        <v>4</v>
      </c>
      <c r="B9" s="123">
        <f>SUBTOTAL(109,Table47[Total department funded EFT])</f>
        <v>1045.2825</v>
      </c>
      <c r="C9" s="123">
        <f>SUBTOTAL(109,Table47[Vacancy EFT])</f>
        <v>60.356999999999999</v>
      </c>
      <c r="D9" s="129">
        <f>SUBTOTAL(101,Table47[Vacancy rate by EFT])</f>
        <v>5.5309043652777043E-2</v>
      </c>
      <c r="E9" s="123">
        <f>SUBTOTAL(109,Table47[Total department funded headcount])</f>
        <v>1470</v>
      </c>
      <c r="F9" s="123">
        <f>SUBTOTAL(109,Table47[Vacancy by headcount])</f>
        <v>78.599999999999994</v>
      </c>
      <c r="G9" s="129">
        <f>SUBTOTAL(101,Table47[Vacancy rate by headcount])</f>
        <v>5.7136752136752136E-2</v>
      </c>
    </row>
    <row r="10" spans="1:8" ht="18.75" customHeight="1" x14ac:dyDescent="0.25">
      <c r="A10" s="124"/>
      <c r="B10" s="126"/>
      <c r="C10" s="126"/>
      <c r="D10" s="127"/>
      <c r="E10" s="126"/>
      <c r="F10" s="126"/>
      <c r="G10" s="127"/>
    </row>
    <row r="11" spans="1:8" ht="18.75" customHeight="1" x14ac:dyDescent="0.25">
      <c r="A11" s="124"/>
      <c r="B11" s="126"/>
      <c r="C11" s="126"/>
      <c r="D11" s="127"/>
      <c r="E11" s="126"/>
      <c r="F11" s="126"/>
      <c r="G11" s="127"/>
    </row>
    <row r="13" spans="1:8" ht="18.75" customHeight="1" x14ac:dyDescent="0.25">
      <c r="A13" s="3" t="s">
        <v>306</v>
      </c>
      <c r="B13" s="246" t="s">
        <v>894</v>
      </c>
      <c r="C13" s="246"/>
      <c r="D13" s="246"/>
    </row>
    <row r="14" spans="1:8" ht="18.75" customHeight="1" x14ac:dyDescent="0.25">
      <c r="A14" s="4" t="s">
        <v>1</v>
      </c>
      <c r="B14" s="2" t="s">
        <v>950</v>
      </c>
    </row>
    <row r="15" spans="1:8" ht="18.75" customHeight="1" x14ac:dyDescent="0.25">
      <c r="A15" s="3"/>
      <c r="B15" s="3"/>
    </row>
    <row r="16" spans="1:8" ht="18.75" customHeight="1" x14ac:dyDescent="0.25">
      <c r="A16" s="87" t="s">
        <v>523</v>
      </c>
      <c r="B16" s="87" t="s">
        <v>2</v>
      </c>
      <c r="C16" s="87" t="s">
        <v>3</v>
      </c>
      <c r="D16" s="87" t="s">
        <v>4</v>
      </c>
    </row>
    <row r="17" spans="1:7" ht="36" x14ac:dyDescent="0.25">
      <c r="A17" s="124" t="s">
        <v>124</v>
      </c>
      <c r="B17" s="75">
        <v>33</v>
      </c>
      <c r="C17" s="75">
        <v>48</v>
      </c>
      <c r="D17" s="75">
        <f>SUM(B17:C17)</f>
        <v>81</v>
      </c>
    </row>
    <row r="18" spans="1:7" ht="54" x14ac:dyDescent="0.25">
      <c r="A18" s="124" t="s">
        <v>76</v>
      </c>
      <c r="B18" s="125">
        <v>28</v>
      </c>
      <c r="C18" s="125">
        <v>46</v>
      </c>
      <c r="D18" s="71">
        <f>SUM(B18:C18)</f>
        <v>74</v>
      </c>
    </row>
    <row r="19" spans="1:7" ht="36" x14ac:dyDescent="0.25">
      <c r="A19" s="124" t="s">
        <v>951</v>
      </c>
      <c r="B19" s="77">
        <f>B18/B17</f>
        <v>0.84848484848484851</v>
      </c>
      <c r="C19" s="77">
        <f>C18/C17</f>
        <v>0.95833333333333337</v>
      </c>
      <c r="D19" s="77">
        <f>D18/D17</f>
        <v>0.9135802469135802</v>
      </c>
    </row>
    <row r="20" spans="1:7" ht="18.75" customHeight="1" x14ac:dyDescent="0.25">
      <c r="A20" s="124"/>
      <c r="B20" s="127"/>
      <c r="C20" s="127"/>
      <c r="D20" s="81"/>
    </row>
    <row r="21" spans="1:7" ht="18.75" customHeight="1" x14ac:dyDescent="0.25">
      <c r="A21" s="124"/>
      <c r="B21" s="127"/>
      <c r="C21" s="127"/>
      <c r="D21" s="81"/>
    </row>
    <row r="23" spans="1:7" s="3" customFormat="1" ht="18.75" customHeight="1" x14ac:dyDescent="0.25">
      <c r="A23" s="3" t="s">
        <v>94</v>
      </c>
      <c r="B23" s="3" t="s">
        <v>668</v>
      </c>
      <c r="E23" s="2"/>
      <c r="F23" s="2"/>
      <c r="G23" s="2"/>
    </row>
    <row r="24" spans="1:7" ht="18.75" customHeight="1" x14ac:dyDescent="0.25">
      <c r="A24" s="4" t="s">
        <v>1</v>
      </c>
      <c r="B24" s="2" t="s">
        <v>952</v>
      </c>
      <c r="E24" s="3"/>
      <c r="F24" s="3"/>
      <c r="G24" s="3"/>
    </row>
    <row r="26" spans="1:7" ht="18.75" customHeight="1" x14ac:dyDescent="0.25">
      <c r="A26" s="87" t="s">
        <v>597</v>
      </c>
      <c r="B26" s="87" t="s">
        <v>953</v>
      </c>
      <c r="C26" s="87" t="s">
        <v>954</v>
      </c>
      <c r="D26" s="87" t="s">
        <v>296</v>
      </c>
    </row>
    <row r="27" spans="1:7" ht="18.75" customHeight="1" x14ac:dyDescent="0.25">
      <c r="A27" s="124" t="s">
        <v>73</v>
      </c>
      <c r="B27" s="133">
        <v>0.34042553191489361</v>
      </c>
      <c r="C27" s="133">
        <v>0.23333333333333334</v>
      </c>
      <c r="D27" s="130">
        <v>0.29870129870129869</v>
      </c>
    </row>
    <row r="28" spans="1:7" ht="18.75" customHeight="1" x14ac:dyDescent="0.25">
      <c r="A28" s="124" t="s">
        <v>74</v>
      </c>
      <c r="B28" s="133">
        <v>0.63829787234042556</v>
      </c>
      <c r="C28" s="133">
        <v>0.6</v>
      </c>
      <c r="D28" s="130">
        <v>0.62337662337662336</v>
      </c>
    </row>
    <row r="29" spans="1:7" ht="18.75" customHeight="1" x14ac:dyDescent="0.25">
      <c r="A29" s="124" t="s">
        <v>75</v>
      </c>
      <c r="B29" s="133">
        <v>2.1276595744680851E-2</v>
      </c>
      <c r="C29" s="133">
        <v>0.16666666666666666</v>
      </c>
      <c r="D29" s="130">
        <v>7.792207792207792E-2</v>
      </c>
    </row>
    <row r="30" spans="1:7" ht="18.75" customHeight="1" x14ac:dyDescent="0.25">
      <c r="A30" s="120" t="s">
        <v>4</v>
      </c>
      <c r="B30" s="72">
        <f>SUBTOTAL(109,Table49[% metro agencies (n = 48)])</f>
        <v>1</v>
      </c>
      <c r="C30" s="72">
        <f>SUBTOTAL(109,Table49[% rural agencies (n = 33)])</f>
        <v>0.99999999999999989</v>
      </c>
      <c r="D30" s="130">
        <f>SUBTOTAL(109,Table49[Total (n=81)])</f>
        <v>1</v>
      </c>
    </row>
    <row r="34" spans="1:4" ht="18.75" customHeight="1" x14ac:dyDescent="0.25">
      <c r="A34"/>
      <c r="B34"/>
      <c r="C34"/>
      <c r="D34"/>
    </row>
    <row r="35" spans="1:4" ht="18" x14ac:dyDescent="0.25">
      <c r="A35"/>
      <c r="B35"/>
      <c r="C35"/>
      <c r="D35"/>
    </row>
    <row r="36" spans="1:4" ht="18" x14ac:dyDescent="0.25">
      <c r="A36" s="131"/>
      <c r="B36" s="132"/>
      <c r="C36" s="132"/>
      <c r="D36" s="132"/>
    </row>
    <row r="37" spans="1:4" ht="18" x14ac:dyDescent="0.25">
      <c r="A37" s="131"/>
      <c r="B37" s="132"/>
      <c r="C37" s="132"/>
      <c r="D37" s="132"/>
    </row>
    <row r="38" spans="1:4" ht="18" x14ac:dyDescent="0.25">
      <c r="A38" s="131"/>
      <c r="B38" s="132"/>
      <c r="C38" s="132"/>
      <c r="D38" s="132"/>
    </row>
    <row r="39" spans="1:4" ht="18" x14ac:dyDescent="0.25">
      <c r="A39"/>
      <c r="B39"/>
      <c r="C39"/>
      <c r="D39"/>
    </row>
    <row r="40" spans="1:4" ht="18" x14ac:dyDescent="0.25">
      <c r="A40"/>
      <c r="B40"/>
      <c r="C40"/>
      <c r="D40"/>
    </row>
    <row r="41" spans="1:4" ht="18" x14ac:dyDescent="0.25">
      <c r="A41"/>
      <c r="B41"/>
      <c r="C41"/>
      <c r="D41"/>
    </row>
    <row r="42" spans="1:4" ht="18.75" customHeight="1" x14ac:dyDescent="0.25">
      <c r="A42"/>
    </row>
    <row r="43" spans="1:4" ht="18.75" customHeight="1" x14ac:dyDescent="0.25">
      <c r="A43"/>
    </row>
    <row r="44" spans="1:4" ht="18.75" customHeight="1" x14ac:dyDescent="0.25">
      <c r="A44"/>
    </row>
    <row r="45" spans="1:4" ht="18.75" customHeight="1" x14ac:dyDescent="0.25">
      <c r="A45"/>
    </row>
    <row r="46" spans="1:4" ht="18.75" customHeight="1" x14ac:dyDescent="0.25">
      <c r="A46"/>
    </row>
    <row r="47" spans="1:4" ht="18.75" customHeight="1" x14ac:dyDescent="0.25">
      <c r="A47"/>
    </row>
    <row r="48" spans="1:4" ht="18.75" customHeight="1" x14ac:dyDescent="0.25">
      <c r="A48"/>
    </row>
    <row r="49" spans="1:1" ht="18" x14ac:dyDescent="0.25">
      <c r="A49"/>
    </row>
    <row r="50" spans="1:1" ht="18" x14ac:dyDescent="0.25">
      <c r="A50"/>
    </row>
    <row r="51" spans="1:1" ht="18" x14ac:dyDescent="0.25">
      <c r="A51"/>
    </row>
    <row r="52" spans="1:1" ht="18" x14ac:dyDescent="0.25">
      <c r="A52"/>
    </row>
    <row r="53" spans="1:1" ht="18" x14ac:dyDescent="0.25">
      <c r="A53"/>
    </row>
    <row r="54" spans="1:1" ht="18" x14ac:dyDescent="0.25">
      <c r="A54"/>
    </row>
    <row r="55" spans="1:1" ht="18" x14ac:dyDescent="0.25">
      <c r="A55"/>
    </row>
    <row r="56" spans="1:1" ht="18" x14ac:dyDescent="0.25">
      <c r="A56"/>
    </row>
    <row r="57" spans="1:1" ht="18" x14ac:dyDescent="0.25">
      <c r="A57"/>
    </row>
    <row r="58" spans="1:1" ht="18" x14ac:dyDescent="0.25">
      <c r="A58"/>
    </row>
    <row r="59" spans="1:1" ht="18" x14ac:dyDescent="0.25">
      <c r="A59"/>
    </row>
    <row r="60" spans="1:1" ht="18" x14ac:dyDescent="0.25">
      <c r="A60"/>
    </row>
    <row r="61" spans="1:1" ht="18" x14ac:dyDescent="0.25">
      <c r="A61"/>
    </row>
    <row r="62" spans="1:1" ht="18" x14ac:dyDescent="0.25">
      <c r="A62"/>
    </row>
  </sheetData>
  <mergeCells count="2">
    <mergeCell ref="A1:H1"/>
    <mergeCell ref="B13:D13"/>
  </mergeCell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Header>&amp;C2013 Victorian AOD Workforce Survey aggregate  report</oddHeader>
    <oddFooter>&amp;A</oddFooter>
  </headerFooter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2"/>
  <sheetViews>
    <sheetView zoomScale="75" zoomScaleNormal="75" zoomScaleSheetLayoutView="75" workbookViewId="0">
      <selection sqref="A1:H1"/>
    </sheetView>
  </sheetViews>
  <sheetFormatPr defaultRowHeight="18.75" customHeight="1" x14ac:dyDescent="0.25"/>
  <cols>
    <col min="1" max="1" width="41.5" style="2" customWidth="1"/>
    <col min="2" max="2" width="36.09765625" style="2" customWidth="1"/>
    <col min="3" max="3" width="38.796875" style="2" customWidth="1"/>
    <col min="4" max="4" width="16.69921875" style="2" customWidth="1"/>
    <col min="5" max="5" width="17.3984375" style="2" customWidth="1"/>
    <col min="6" max="6" width="31.69921875" style="2" bestFit="1" customWidth="1"/>
    <col min="7" max="7" width="26.296875" style="2" customWidth="1"/>
    <col min="8" max="8" width="5.19921875" customWidth="1"/>
    <col min="9" max="9" width="10.3984375" customWidth="1"/>
    <col min="10" max="10" width="13.19921875" customWidth="1"/>
    <col min="11" max="11" width="6.296875" customWidth="1"/>
    <col min="12" max="13" width="9.59765625" customWidth="1"/>
    <col min="14" max="14" width="8" customWidth="1"/>
    <col min="15" max="15" width="10.5" bestFit="1" customWidth="1"/>
    <col min="16" max="16" width="9.59765625" bestFit="1" customWidth="1"/>
  </cols>
  <sheetData>
    <row r="1" spans="1:15" s="33" customFormat="1" ht="55.5" customHeight="1" x14ac:dyDescent="0.2">
      <c r="A1" s="244" t="s">
        <v>922</v>
      </c>
      <c r="B1" s="244"/>
      <c r="C1" s="244"/>
      <c r="D1" s="244"/>
      <c r="E1" s="244"/>
      <c r="F1" s="244"/>
      <c r="G1" s="244"/>
      <c r="H1" s="244"/>
    </row>
    <row r="2" spans="1:15" s="2" customFormat="1" ht="18.75" customHeight="1" x14ac:dyDescent="0.25"/>
    <row r="3" spans="1:15" s="2" customFormat="1" ht="18.75" customHeight="1" x14ac:dyDescent="0.25">
      <c r="A3" s="3" t="s">
        <v>677</v>
      </c>
      <c r="B3" s="3" t="s">
        <v>895</v>
      </c>
      <c r="C3" s="3"/>
      <c r="D3" s="3"/>
    </row>
    <row r="4" spans="1:15" s="3" customFormat="1" ht="18.75" customHeight="1" x14ac:dyDescent="0.25">
      <c r="A4" s="4" t="s">
        <v>1</v>
      </c>
      <c r="B4" s="2" t="s">
        <v>689</v>
      </c>
      <c r="C4" s="2" t="s">
        <v>93</v>
      </c>
      <c r="D4" s="2"/>
      <c r="F4" s="19"/>
    </row>
    <row r="5" spans="1:15" s="2" customFormat="1" ht="18.75" customHeight="1" x14ac:dyDescent="0.25"/>
    <row r="6" spans="1:15" s="2" customFormat="1" ht="18.75" customHeight="1" x14ac:dyDescent="0.25">
      <c r="A6" s="120" t="s">
        <v>905</v>
      </c>
      <c r="B6" s="87" t="s">
        <v>671</v>
      </c>
      <c r="C6" s="87" t="s">
        <v>672</v>
      </c>
      <c r="D6" s="135" t="s">
        <v>669</v>
      </c>
      <c r="E6" s="87" t="s">
        <v>670</v>
      </c>
      <c r="F6" s="87" t="s">
        <v>638</v>
      </c>
      <c r="G6" s="135" t="s">
        <v>619</v>
      </c>
    </row>
    <row r="7" spans="1:15" s="2" customFormat="1" ht="18" x14ac:dyDescent="0.25">
      <c r="A7" s="124" t="s">
        <v>38</v>
      </c>
      <c r="B7" s="81">
        <v>4.3715846994535519E-2</v>
      </c>
      <c r="C7" s="81">
        <v>2.7855153203342618E-2</v>
      </c>
      <c r="D7" s="136">
        <v>3.7234042553191488E-2</v>
      </c>
      <c r="E7" s="81">
        <v>2.4844720496894408E-2</v>
      </c>
      <c r="F7" s="81">
        <v>0</v>
      </c>
      <c r="G7" s="137">
        <v>3.3210332103321034E-2</v>
      </c>
    </row>
    <row r="8" spans="1:15" s="2" customFormat="1" ht="18" x14ac:dyDescent="0.25">
      <c r="A8" s="124" t="s">
        <v>33</v>
      </c>
      <c r="B8" s="81">
        <v>0.51366120218579236</v>
      </c>
      <c r="C8" s="81">
        <v>0.54874651810584962</v>
      </c>
      <c r="D8" s="136">
        <v>0.53989361702127658</v>
      </c>
      <c r="E8" s="81">
        <v>0.52795031055900621</v>
      </c>
      <c r="F8" s="81">
        <v>0.6</v>
      </c>
      <c r="G8" s="137">
        <v>0.53690036900369009</v>
      </c>
    </row>
    <row r="9" spans="1:15" s="2" customFormat="1" ht="18" x14ac:dyDescent="0.25">
      <c r="A9" s="124" t="s">
        <v>299</v>
      </c>
      <c r="B9" s="81">
        <v>0.24043715846994534</v>
      </c>
      <c r="C9" s="81">
        <v>0.26462395543175488</v>
      </c>
      <c r="D9" s="136">
        <v>0.23936170212765959</v>
      </c>
      <c r="E9" s="81">
        <v>0.29192546583850931</v>
      </c>
      <c r="F9" s="81">
        <v>0.4</v>
      </c>
      <c r="G9" s="137">
        <v>0.25645756457564578</v>
      </c>
    </row>
    <row r="10" spans="1:15" s="2" customFormat="1" ht="18" x14ac:dyDescent="0.25">
      <c r="A10" s="124" t="s">
        <v>300</v>
      </c>
      <c r="B10" s="81">
        <v>0.16393442622950818</v>
      </c>
      <c r="C10" s="81">
        <v>0.11142061281337047</v>
      </c>
      <c r="D10" s="136">
        <v>0.13031914893617022</v>
      </c>
      <c r="E10" s="81">
        <v>0.13043478260869565</v>
      </c>
      <c r="F10" s="81">
        <v>0</v>
      </c>
      <c r="G10" s="137">
        <v>0.12915129151291513</v>
      </c>
    </row>
    <row r="11" spans="1:15" s="2" customFormat="1" ht="18" x14ac:dyDescent="0.25">
      <c r="A11" s="124" t="s">
        <v>301</v>
      </c>
      <c r="B11" s="81">
        <v>2.185792349726776E-2</v>
      </c>
      <c r="C11" s="81">
        <v>3.6211699164345405E-2</v>
      </c>
      <c r="D11" s="136">
        <v>3.4574468085106384E-2</v>
      </c>
      <c r="E11" s="81">
        <v>2.4844720496894408E-2</v>
      </c>
      <c r="F11" s="81">
        <v>0</v>
      </c>
      <c r="G11" s="137">
        <v>3.136531365313653E-2</v>
      </c>
    </row>
    <row r="12" spans="1:15" s="2" customFormat="1" ht="18" x14ac:dyDescent="0.25">
      <c r="A12" s="124" t="s">
        <v>302</v>
      </c>
      <c r="B12" s="81">
        <v>5.4644808743169399E-3</v>
      </c>
      <c r="C12" s="81">
        <v>5.5710306406685237E-3</v>
      </c>
      <c r="D12" s="136">
        <v>7.9787234042553185E-3</v>
      </c>
      <c r="E12" s="81">
        <v>0</v>
      </c>
      <c r="F12" s="81">
        <v>0</v>
      </c>
      <c r="G12" s="137">
        <v>5.5350553505535052E-3</v>
      </c>
    </row>
    <row r="13" spans="1:15" s="2" customFormat="1" ht="18" x14ac:dyDescent="0.25">
      <c r="A13" s="124" t="s">
        <v>37</v>
      </c>
      <c r="B13" s="81">
        <v>1.092896174863388E-2</v>
      </c>
      <c r="C13" s="81">
        <v>5.5710306406685237E-3</v>
      </c>
      <c r="D13" s="136">
        <v>1.0638297872340425E-2</v>
      </c>
      <c r="E13" s="81">
        <v>0</v>
      </c>
      <c r="F13" s="81">
        <v>0</v>
      </c>
      <c r="G13" s="137">
        <v>7.3800738007380072E-3</v>
      </c>
    </row>
    <row r="14" spans="1:15" s="7" customFormat="1" ht="18" x14ac:dyDescent="0.25">
      <c r="A14" s="1" t="s">
        <v>4</v>
      </c>
      <c r="B14" s="102">
        <f>SUBTOTAL(109,Table51[Male (n=183)])</f>
        <v>1</v>
      </c>
      <c r="C14" s="102">
        <f>SUBTOTAL(109,Table51[Female (n=359)])</f>
        <v>1</v>
      </c>
      <c r="D14" s="138">
        <f>SUBTOTAL(109,Table51[Metro (n=376)])</f>
        <v>1</v>
      </c>
      <c r="E14" s="102">
        <f>SUBTOTAL(109,Table51[Rural (n=161)])</f>
        <v>1</v>
      </c>
      <c r="F14" s="102">
        <f>SUBTOTAL(109,Table51[Unknown location (n=5)])</f>
        <v>1</v>
      </c>
      <c r="G14" s="139">
        <f>SUBTOTAL(109,Table51[% total])</f>
        <v>1.0000000000000002</v>
      </c>
      <c r="H14" s="20"/>
      <c r="N14" s="22"/>
      <c r="O14" s="22"/>
    </row>
    <row r="15" spans="1:15" s="7" customFormat="1" ht="18" x14ac:dyDescent="0.25">
      <c r="A15" s="20"/>
      <c r="B15" s="8"/>
      <c r="C15" s="8"/>
      <c r="D15" s="8"/>
      <c r="E15" s="8"/>
      <c r="F15" s="8"/>
      <c r="H15" s="20"/>
      <c r="I15"/>
      <c r="J15"/>
      <c r="K15"/>
      <c r="L15"/>
      <c r="M15" s="22"/>
      <c r="N15" s="22"/>
      <c r="O15" s="22"/>
    </row>
    <row r="16" spans="1:15" s="7" customFormat="1" ht="18" x14ac:dyDescent="0.25">
      <c r="A16" s="20"/>
      <c r="B16" s="8"/>
      <c r="C16" s="8"/>
      <c r="D16" s="8"/>
      <c r="E16" s="8"/>
      <c r="F16" s="8"/>
      <c r="H16"/>
      <c r="I16"/>
      <c r="J16"/>
      <c r="K16"/>
      <c r="L16"/>
      <c r="M16"/>
      <c r="N16"/>
      <c r="O16"/>
    </row>
    <row r="17" spans="1:15" s="7" customFormat="1" ht="18" x14ac:dyDescent="0.25">
      <c r="A17" s="20"/>
      <c r="B17" s="8"/>
      <c r="C17" s="8"/>
      <c r="D17" s="8"/>
      <c r="E17" s="8"/>
      <c r="F17" s="8"/>
      <c r="H17"/>
      <c r="I17"/>
      <c r="J17"/>
      <c r="K17"/>
      <c r="L17"/>
      <c r="M17"/>
      <c r="N17"/>
      <c r="O17"/>
    </row>
    <row r="18" spans="1:15" s="7" customFormat="1" ht="18" x14ac:dyDescent="0.25">
      <c r="A18" s="3" t="s">
        <v>82</v>
      </c>
      <c r="B18" s="3" t="s">
        <v>956</v>
      </c>
      <c r="C18" s="3"/>
      <c r="D18" s="3"/>
      <c r="E18" s="2"/>
      <c r="F18" s="2"/>
      <c r="G18" s="2"/>
      <c r="H18"/>
      <c r="I18"/>
      <c r="J18"/>
      <c r="K18"/>
      <c r="L18"/>
      <c r="M18"/>
      <c r="N18"/>
      <c r="O18"/>
    </row>
    <row r="19" spans="1:15" s="7" customFormat="1" ht="18" x14ac:dyDescent="0.25">
      <c r="A19" s="4" t="s">
        <v>1</v>
      </c>
      <c r="B19" s="2" t="s">
        <v>688</v>
      </c>
      <c r="C19" s="2"/>
      <c r="D19" s="2"/>
      <c r="E19" s="3"/>
      <c r="F19" s="3"/>
      <c r="G19" s="3"/>
      <c r="H19"/>
      <c r="I19"/>
      <c r="J19"/>
      <c r="K19"/>
      <c r="L19"/>
      <c r="M19"/>
      <c r="N19"/>
      <c r="O19"/>
    </row>
    <row r="20" spans="1:15" s="7" customFormat="1" ht="18" x14ac:dyDescent="0.25">
      <c r="A20" s="2"/>
      <c r="B20" s="2"/>
      <c r="C20" s="2"/>
      <c r="D20" s="2"/>
      <c r="E20" s="2"/>
      <c r="F20" s="2"/>
      <c r="G20" s="2"/>
      <c r="H20"/>
      <c r="I20"/>
      <c r="J20"/>
      <c r="K20"/>
      <c r="L20"/>
      <c r="M20"/>
      <c r="N20"/>
      <c r="O20"/>
    </row>
    <row r="21" spans="1:15" s="190" customFormat="1" ht="22.5" customHeight="1" x14ac:dyDescent="0.2">
      <c r="A21" s="122" t="s">
        <v>304</v>
      </c>
      <c r="B21" s="76" t="s">
        <v>673</v>
      </c>
      <c r="C21" s="76" t="s">
        <v>674</v>
      </c>
      <c r="D21" s="188" t="s">
        <v>675</v>
      </c>
      <c r="E21" s="76" t="s">
        <v>676</v>
      </c>
      <c r="F21" s="76" t="s">
        <v>638</v>
      </c>
      <c r="G21" s="188" t="s">
        <v>906</v>
      </c>
      <c r="H21" s="189"/>
      <c r="I21" s="189"/>
      <c r="J21" s="189"/>
      <c r="K21" s="189"/>
      <c r="L21" s="189"/>
      <c r="M21" s="189"/>
      <c r="N21" s="189"/>
      <c r="O21" s="189"/>
    </row>
    <row r="22" spans="1:15" s="7" customFormat="1" ht="18" x14ac:dyDescent="0.25">
      <c r="A22" s="124" t="s">
        <v>38</v>
      </c>
      <c r="B22" s="81">
        <v>1.5306122448979591E-2</v>
      </c>
      <c r="C22" s="81">
        <v>3.3248081841432228E-2</v>
      </c>
      <c r="D22" s="136">
        <v>2.2727272727272728E-2</v>
      </c>
      <c r="E22" s="81">
        <v>2.9556650246305417E-2</v>
      </c>
      <c r="F22" s="81">
        <v>0</v>
      </c>
      <c r="G22" s="137">
        <v>2.7257240204429302E-2</v>
      </c>
      <c r="H22"/>
      <c r="I22"/>
      <c r="J22"/>
      <c r="K22"/>
      <c r="L22"/>
      <c r="M22"/>
      <c r="N22"/>
      <c r="O22"/>
    </row>
    <row r="23" spans="1:15" s="7" customFormat="1" ht="18" x14ac:dyDescent="0.25">
      <c r="A23" s="124" t="s">
        <v>33</v>
      </c>
      <c r="B23" s="81">
        <v>0.2857142857142857</v>
      </c>
      <c r="C23" s="81">
        <v>0.39386189258312021</v>
      </c>
      <c r="D23" s="136">
        <v>0.38068181818181818</v>
      </c>
      <c r="E23" s="81">
        <v>0.34975369458128081</v>
      </c>
      <c r="F23" s="81">
        <v>0.2</v>
      </c>
      <c r="G23" s="137">
        <v>0.35775127768313458</v>
      </c>
      <c r="H23"/>
      <c r="I23"/>
      <c r="J23"/>
      <c r="K23"/>
      <c r="L23"/>
      <c r="M23"/>
      <c r="N23"/>
      <c r="O23"/>
    </row>
    <row r="24" spans="1:15" s="7" customFormat="1" ht="18" x14ac:dyDescent="0.25">
      <c r="A24" s="124" t="s">
        <v>299</v>
      </c>
      <c r="B24" s="81">
        <v>0.27551020408163263</v>
      </c>
      <c r="C24" s="81">
        <v>0.23785166240409208</v>
      </c>
      <c r="D24" s="136">
        <v>0.28409090909090912</v>
      </c>
      <c r="E24" s="81">
        <v>0.23399014778325122</v>
      </c>
      <c r="F24" s="81">
        <v>0.4</v>
      </c>
      <c r="G24" s="137">
        <v>0.25042589437819418</v>
      </c>
      <c r="H24"/>
      <c r="I24"/>
      <c r="J24"/>
      <c r="K24"/>
      <c r="L24"/>
      <c r="M24"/>
      <c r="N24"/>
      <c r="O24"/>
    </row>
    <row r="25" spans="1:15" s="7" customFormat="1" ht="18" x14ac:dyDescent="0.25">
      <c r="A25" s="124" t="s">
        <v>300</v>
      </c>
      <c r="B25" s="81">
        <v>0.25510204081632654</v>
      </c>
      <c r="C25" s="81">
        <v>0.1918158567774936</v>
      </c>
      <c r="D25" s="136">
        <v>0.1875</v>
      </c>
      <c r="E25" s="81">
        <v>0.22413793103448276</v>
      </c>
      <c r="F25" s="81">
        <v>0.2</v>
      </c>
      <c r="G25" s="137">
        <v>0.21294718909710392</v>
      </c>
      <c r="H25"/>
      <c r="I25"/>
      <c r="J25"/>
      <c r="K25"/>
      <c r="L25"/>
      <c r="M25"/>
      <c r="N25"/>
      <c r="O25"/>
    </row>
    <row r="26" spans="1:15" s="7" customFormat="1" ht="18" x14ac:dyDescent="0.25">
      <c r="A26" s="124" t="s">
        <v>301</v>
      </c>
      <c r="B26" s="81">
        <v>8.673469387755102E-2</v>
      </c>
      <c r="C26" s="81">
        <v>8.9514066496163683E-2</v>
      </c>
      <c r="D26" s="136">
        <v>9.0909090909090912E-2</v>
      </c>
      <c r="E26" s="81">
        <v>8.6206896551724144E-2</v>
      </c>
      <c r="F26" s="81">
        <v>0.2</v>
      </c>
      <c r="G26" s="137">
        <v>8.8586030664395229E-2</v>
      </c>
      <c r="H26"/>
      <c r="I26"/>
      <c r="J26"/>
      <c r="K26"/>
      <c r="L26"/>
      <c r="M26"/>
      <c r="N26"/>
      <c r="O26"/>
    </row>
    <row r="27" spans="1:15" s="7" customFormat="1" ht="18" x14ac:dyDescent="0.25">
      <c r="A27" s="124" t="s">
        <v>303</v>
      </c>
      <c r="B27" s="81">
        <v>8.1632653061224483E-2</v>
      </c>
      <c r="C27" s="81">
        <v>5.3708439897698211E-2</v>
      </c>
      <c r="D27" s="136">
        <v>3.4090909090909088E-2</v>
      </c>
      <c r="E27" s="81">
        <v>7.6354679802955669E-2</v>
      </c>
      <c r="F27" s="81">
        <v>0</v>
      </c>
      <c r="G27" s="137">
        <v>6.3032367972742753E-2</v>
      </c>
      <c r="H27"/>
      <c r="I27"/>
      <c r="J27"/>
      <c r="K27"/>
      <c r="L27"/>
      <c r="M27"/>
      <c r="N27"/>
      <c r="O27"/>
    </row>
    <row r="28" spans="1:15" s="7" customFormat="1" ht="18" x14ac:dyDescent="0.25">
      <c r="A28" s="1" t="s">
        <v>4</v>
      </c>
      <c r="B28" s="102">
        <f>SUBTOTAL(109,Table52[Male (n=196)])</f>
        <v>0.99999999999999989</v>
      </c>
      <c r="C28" s="102">
        <f>SUBTOTAL(109,Table52[Female (n=391)])</f>
        <v>1</v>
      </c>
      <c r="D28" s="138">
        <f>SUBTOTAL(109,Table52[Rural (n=176)])</f>
        <v>1</v>
      </c>
      <c r="E28" s="105">
        <f>SUBTOTAL(109,Table52[Metro (n=406)])</f>
        <v>0.99999999999999989</v>
      </c>
      <c r="F28" s="105">
        <f>SUBTOTAL(109,Table52[Unknown location (n=5)])</f>
        <v>1</v>
      </c>
      <c r="G28" s="139">
        <f>SUBTOTAL(109,Table52[% total (n=587)])</f>
        <v>1</v>
      </c>
      <c r="H28"/>
      <c r="I28"/>
      <c r="J28"/>
      <c r="K28"/>
      <c r="L28"/>
      <c r="M28"/>
      <c r="N28"/>
      <c r="O28"/>
    </row>
    <row r="29" spans="1:15" s="2" customFormat="1" ht="18" x14ac:dyDescent="0.25">
      <c r="A29" s="20"/>
      <c r="B29" s="8"/>
      <c r="C29" s="8"/>
      <c r="D29" s="8"/>
      <c r="E29" s="8"/>
      <c r="F29" s="8"/>
      <c r="G29" s="7"/>
      <c r="H29"/>
      <c r="I29"/>
      <c r="J29"/>
      <c r="K29"/>
      <c r="L29"/>
      <c r="M29"/>
      <c r="N29"/>
      <c r="O29"/>
    </row>
    <row r="30" spans="1:15" s="2" customFormat="1" ht="18" x14ac:dyDescent="0.25">
      <c r="A30" s="20"/>
      <c r="B30" s="8"/>
      <c r="C30" s="8"/>
      <c r="D30" s="8"/>
      <c r="E30" s="8"/>
      <c r="F30" s="8"/>
      <c r="G30" s="7"/>
      <c r="H30"/>
      <c r="I30"/>
      <c r="J30"/>
      <c r="K30"/>
      <c r="L30"/>
      <c r="M30"/>
      <c r="N30"/>
      <c r="O30"/>
    </row>
    <row r="31" spans="1:15" s="3" customFormat="1" ht="18" x14ac:dyDescent="0.25">
      <c r="A31" s="2"/>
      <c r="B31" s="2"/>
      <c r="C31" s="2"/>
      <c r="D31" s="2"/>
      <c r="E31" s="2"/>
      <c r="F31" s="2"/>
      <c r="G31" s="2"/>
      <c r="H31"/>
      <c r="I31"/>
      <c r="J31"/>
      <c r="K31"/>
      <c r="L31"/>
      <c r="M31"/>
      <c r="N31"/>
      <c r="O31"/>
    </row>
    <row r="32" spans="1:15" s="2" customFormat="1" ht="18" x14ac:dyDescent="0.25">
      <c r="A32" s="3" t="s">
        <v>114</v>
      </c>
      <c r="B32" s="3" t="s">
        <v>305</v>
      </c>
      <c r="C32" s="3"/>
      <c r="D32" s="3"/>
      <c r="H32"/>
      <c r="I32"/>
      <c r="J32"/>
      <c r="K32"/>
      <c r="L32"/>
      <c r="M32"/>
      <c r="N32"/>
      <c r="O32"/>
    </row>
    <row r="33" spans="1:15" s="2" customFormat="1" ht="18" x14ac:dyDescent="0.25">
      <c r="A33" s="4" t="s">
        <v>1</v>
      </c>
      <c r="B33" s="2" t="s">
        <v>687</v>
      </c>
      <c r="E33" s="3"/>
      <c r="F33" s="3"/>
      <c r="G33" s="3"/>
      <c r="H33"/>
      <c r="I33"/>
      <c r="J33"/>
      <c r="K33"/>
      <c r="L33"/>
      <c r="M33"/>
      <c r="N33"/>
      <c r="O33"/>
    </row>
    <row r="34" spans="1:15" s="2" customFormat="1" ht="18" x14ac:dyDescent="0.25">
      <c r="F34" s="3"/>
      <c r="H34"/>
      <c r="I34"/>
      <c r="J34"/>
      <c r="K34"/>
      <c r="L34"/>
      <c r="M34"/>
      <c r="N34"/>
      <c r="O34"/>
    </row>
    <row r="35" spans="1:15" s="2" customFormat="1" ht="18" x14ac:dyDescent="0.25">
      <c r="A35" s="1"/>
      <c r="B35" s="140"/>
      <c r="C35" s="146" t="s">
        <v>307</v>
      </c>
      <c r="D35" s="140" t="s">
        <v>308</v>
      </c>
      <c r="E35" s="146" t="s">
        <v>140</v>
      </c>
      <c r="H35"/>
      <c r="I35"/>
      <c r="J35"/>
      <c r="K35"/>
      <c r="L35"/>
      <c r="M35"/>
      <c r="N35"/>
      <c r="O35"/>
    </row>
    <row r="36" spans="1:15" s="2" customFormat="1" ht="18" x14ac:dyDescent="0.25">
      <c r="A36" s="1"/>
      <c r="B36" s="143" t="s">
        <v>125</v>
      </c>
      <c r="C36" s="142">
        <v>245</v>
      </c>
      <c r="D36" s="144">
        <v>364</v>
      </c>
      <c r="E36" s="144">
        <v>206</v>
      </c>
      <c r="H36"/>
      <c r="I36"/>
      <c r="J36"/>
      <c r="K36"/>
      <c r="L36"/>
      <c r="M36"/>
      <c r="N36"/>
      <c r="O36"/>
    </row>
    <row r="37" spans="1:15" s="2" customFormat="1" ht="18" x14ac:dyDescent="0.25">
      <c r="A37" s="1"/>
      <c r="B37" s="118" t="s">
        <v>126</v>
      </c>
      <c r="C37" s="141">
        <v>0.30061349693251532</v>
      </c>
      <c r="D37" s="145">
        <v>0.44662576687116562</v>
      </c>
      <c r="E37" s="145">
        <f>E36/815</f>
        <v>0.252760736196319</v>
      </c>
      <c r="H37"/>
      <c r="I37"/>
      <c r="J37"/>
      <c r="K37"/>
      <c r="L37"/>
      <c r="M37"/>
      <c r="N37"/>
      <c r="O37"/>
    </row>
    <row r="38" spans="1:15" s="33" customFormat="1" ht="24.95" customHeight="1" x14ac:dyDescent="0.2">
      <c r="A38" s="248" t="s">
        <v>698</v>
      </c>
      <c r="B38" s="206" t="s">
        <v>39</v>
      </c>
      <c r="C38" s="207">
        <v>0.6244343891402715</v>
      </c>
      <c r="D38" s="208">
        <v>0.53271028037383172</v>
      </c>
      <c r="E38" s="160"/>
    </row>
    <row r="39" spans="1:15" s="33" customFormat="1" ht="24.95" customHeight="1" x14ac:dyDescent="0.2">
      <c r="A39" s="248"/>
      <c r="B39" s="206" t="s">
        <v>34</v>
      </c>
      <c r="C39" s="207">
        <v>0.21266968325791855</v>
      </c>
      <c r="D39" s="208">
        <v>0.28660436137071649</v>
      </c>
      <c r="E39" s="160"/>
    </row>
    <row r="40" spans="1:15" s="33" customFormat="1" ht="24.95" customHeight="1" x14ac:dyDescent="0.2">
      <c r="A40" s="248"/>
      <c r="B40" s="209" t="s">
        <v>35</v>
      </c>
      <c r="C40" s="210">
        <v>0.14027149321266968</v>
      </c>
      <c r="D40" s="211">
        <v>0.12149532710280374</v>
      </c>
      <c r="E40" s="160"/>
    </row>
    <row r="41" spans="1:15" s="33" customFormat="1" ht="24.95" customHeight="1" x14ac:dyDescent="0.2">
      <c r="A41" s="248"/>
      <c r="B41" s="206" t="s">
        <v>36</v>
      </c>
      <c r="C41" s="207">
        <v>1.3574660633484163E-2</v>
      </c>
      <c r="D41" s="208">
        <v>4.3613707165109032E-2</v>
      </c>
    </row>
    <row r="42" spans="1:15" s="33" customFormat="1" ht="24.95" customHeight="1" thickBot="1" x14ac:dyDescent="0.25">
      <c r="A42" s="248"/>
      <c r="B42" s="212" t="s">
        <v>40</v>
      </c>
      <c r="C42" s="213">
        <v>9.0497737556561094E-3</v>
      </c>
      <c r="D42" s="214">
        <v>1.5576323987538941E-2</v>
      </c>
      <c r="E42" s="160"/>
    </row>
    <row r="43" spans="1:15" s="2" customFormat="1" thickTop="1" x14ac:dyDescent="0.25">
      <c r="A43" s="1"/>
      <c r="B43" s="215" t="s">
        <v>4</v>
      </c>
      <c r="C43" s="216">
        <v>1</v>
      </c>
      <c r="D43" s="217">
        <v>1</v>
      </c>
      <c r="E43" s="98"/>
    </row>
    <row r="44" spans="1:15" s="5" customFormat="1" ht="18" x14ac:dyDescent="0.25">
      <c r="A44"/>
      <c r="B44"/>
      <c r="C44"/>
      <c r="D44"/>
      <c r="E44"/>
      <c r="F44" s="2"/>
      <c r="G44" s="2"/>
    </row>
    <row r="45" spans="1:15" s="2" customFormat="1" ht="18" x14ac:dyDescent="0.25">
      <c r="H45"/>
      <c r="I45"/>
      <c r="J45"/>
      <c r="K45"/>
      <c r="L45"/>
    </row>
    <row r="46" spans="1:15" s="3" customFormat="1" ht="18" x14ac:dyDescent="0.25">
      <c r="A46" s="2"/>
      <c r="B46" s="2"/>
      <c r="C46" s="2"/>
      <c r="D46" s="2"/>
      <c r="E46" s="2"/>
      <c r="F46" s="2"/>
      <c r="G46" s="2"/>
      <c r="I46"/>
      <c r="J46"/>
      <c r="K46"/>
      <c r="L46"/>
    </row>
    <row r="47" spans="1:15" s="2" customFormat="1" ht="18" x14ac:dyDescent="0.25">
      <c r="A47" s="3" t="s">
        <v>139</v>
      </c>
      <c r="B47" s="3" t="s">
        <v>683</v>
      </c>
      <c r="C47" s="3"/>
      <c r="D47" s="3"/>
      <c r="I47"/>
      <c r="J47"/>
      <c r="K47"/>
      <c r="L47"/>
    </row>
    <row r="48" spans="1:15" s="2" customFormat="1" ht="18" x14ac:dyDescent="0.25">
      <c r="A48" s="4" t="s">
        <v>1</v>
      </c>
      <c r="B48" s="2" t="s">
        <v>686</v>
      </c>
      <c r="E48" s="3"/>
      <c r="F48" s="3"/>
      <c r="G48" s="3"/>
      <c r="I48"/>
      <c r="J48"/>
      <c r="K48"/>
      <c r="L48"/>
    </row>
    <row r="49" spans="1:16" s="2" customFormat="1" ht="18" x14ac:dyDescent="0.25">
      <c r="A49" s="6"/>
      <c r="B49" s="6"/>
      <c r="C49" s="6"/>
      <c r="F49" s="3"/>
      <c r="I49"/>
      <c r="J49"/>
      <c r="K49"/>
      <c r="L49"/>
    </row>
    <row r="50" spans="1:16" s="33" customFormat="1" ht="26.25" customHeight="1" x14ac:dyDescent="0.2">
      <c r="A50" s="122" t="s">
        <v>309</v>
      </c>
      <c r="B50" s="76" t="s">
        <v>678</v>
      </c>
      <c r="C50" s="76" t="s">
        <v>679</v>
      </c>
      <c r="D50" s="188" t="s">
        <v>681</v>
      </c>
      <c r="E50" s="76" t="s">
        <v>682</v>
      </c>
      <c r="F50" s="218" t="s">
        <v>638</v>
      </c>
      <c r="G50" s="76" t="s">
        <v>680</v>
      </c>
      <c r="I50" s="189"/>
      <c r="J50" s="189"/>
      <c r="K50" s="189"/>
      <c r="L50" s="189"/>
    </row>
    <row r="51" spans="1:16" s="2" customFormat="1" ht="18" x14ac:dyDescent="0.25">
      <c r="A51" s="124" t="s">
        <v>311</v>
      </c>
      <c r="B51" s="77">
        <v>0.55555555555555558</v>
      </c>
      <c r="C51" s="77">
        <v>0.63060686015831136</v>
      </c>
      <c r="D51" s="191">
        <v>0.65088757396449703</v>
      </c>
      <c r="E51" s="77">
        <v>0.58629441624365486</v>
      </c>
      <c r="F51" s="192">
        <v>0.6</v>
      </c>
      <c r="G51" s="193">
        <v>0.60563380281690138</v>
      </c>
      <c r="N51"/>
      <c r="O51"/>
      <c r="P51"/>
    </row>
    <row r="52" spans="1:16" s="2" customFormat="1" ht="18" x14ac:dyDescent="0.25">
      <c r="A52" s="124" t="s">
        <v>312</v>
      </c>
      <c r="B52" s="77">
        <v>2.1164021164021163E-2</v>
      </c>
      <c r="C52" s="77">
        <v>1.8469656992084433E-2</v>
      </c>
      <c r="D52" s="191">
        <v>0</v>
      </c>
      <c r="E52" s="77">
        <v>2.7918781725888325E-2</v>
      </c>
      <c r="F52" s="192">
        <v>0</v>
      </c>
      <c r="G52" s="193">
        <v>1.936619718309859E-2</v>
      </c>
      <c r="N52"/>
      <c r="O52"/>
      <c r="P52"/>
    </row>
    <row r="53" spans="1:16" s="2" customFormat="1" ht="18" x14ac:dyDescent="0.25">
      <c r="A53" s="124" t="s">
        <v>313</v>
      </c>
      <c r="B53" s="77">
        <v>2.1164021164021163E-2</v>
      </c>
      <c r="C53" s="77">
        <v>4.4854881266490766E-2</v>
      </c>
      <c r="D53" s="191">
        <v>3.5502958579881658E-2</v>
      </c>
      <c r="E53" s="77">
        <v>3.8071065989847719E-2</v>
      </c>
      <c r="F53" s="192">
        <v>0</v>
      </c>
      <c r="G53" s="193">
        <v>3.6971830985915492E-2</v>
      </c>
      <c r="N53"/>
      <c r="O53"/>
      <c r="P53"/>
    </row>
    <row r="54" spans="1:16" s="2" customFormat="1" ht="36" x14ac:dyDescent="0.25">
      <c r="A54" s="124" t="s">
        <v>314</v>
      </c>
      <c r="B54" s="77">
        <v>2.6455026455026454E-2</v>
      </c>
      <c r="C54" s="77">
        <v>2.6385224274406333E-2</v>
      </c>
      <c r="D54" s="191">
        <v>4.142011834319527E-2</v>
      </c>
      <c r="E54" s="77">
        <v>2.030456852791878E-2</v>
      </c>
      <c r="F54" s="192">
        <v>0</v>
      </c>
      <c r="G54" s="193">
        <v>2.6408450704225352E-2</v>
      </c>
      <c r="N54"/>
      <c r="O54"/>
      <c r="P54"/>
    </row>
    <row r="55" spans="1:16" s="2" customFormat="1" ht="36" x14ac:dyDescent="0.25">
      <c r="A55" s="124" t="s">
        <v>310</v>
      </c>
      <c r="B55" s="77">
        <v>3.7037037037037035E-2</v>
      </c>
      <c r="C55" s="77">
        <v>4.221635883905013E-2</v>
      </c>
      <c r="D55" s="191">
        <v>3.5502958579881658E-2</v>
      </c>
      <c r="E55" s="77">
        <v>4.3147208121827409E-2</v>
      </c>
      <c r="F55" s="192">
        <v>0</v>
      </c>
      <c r="G55" s="193">
        <v>4.0492957746478875E-2</v>
      </c>
      <c r="N55"/>
      <c r="O55"/>
      <c r="P55"/>
    </row>
    <row r="56" spans="1:16" s="2" customFormat="1" ht="18" x14ac:dyDescent="0.25">
      <c r="A56" s="124" t="s">
        <v>315</v>
      </c>
      <c r="B56" s="77">
        <v>5.2910052910052907E-2</v>
      </c>
      <c r="C56" s="77">
        <v>5.8047493403693931E-2</v>
      </c>
      <c r="D56" s="191">
        <v>5.3254437869822487E-2</v>
      </c>
      <c r="E56" s="77">
        <v>5.5837563451776651E-2</v>
      </c>
      <c r="F56" s="192">
        <v>0.2</v>
      </c>
      <c r="G56" s="193">
        <v>5.6338028169014086E-2</v>
      </c>
      <c r="N56"/>
      <c r="O56"/>
      <c r="P56"/>
    </row>
    <row r="57" spans="1:16" s="2" customFormat="1" ht="18" x14ac:dyDescent="0.25">
      <c r="A57" s="124" t="s">
        <v>41</v>
      </c>
      <c r="B57" s="77">
        <v>7.407407407407407E-2</v>
      </c>
      <c r="C57" s="77">
        <v>6.860158311345646E-2</v>
      </c>
      <c r="D57" s="191">
        <v>7.6923076923076927E-2</v>
      </c>
      <c r="E57" s="77">
        <v>6.8527918781725886E-2</v>
      </c>
      <c r="F57" s="192">
        <v>0</v>
      </c>
      <c r="G57" s="193">
        <v>7.0422535211267609E-2</v>
      </c>
      <c r="N57"/>
      <c r="O57"/>
      <c r="P57"/>
    </row>
    <row r="58" spans="1:16" s="2" customFormat="1" ht="36" x14ac:dyDescent="0.25">
      <c r="A58" s="124" t="s">
        <v>316</v>
      </c>
      <c r="B58" s="77">
        <v>0.21164021164021163</v>
      </c>
      <c r="C58" s="77">
        <v>0.11081794195250659</v>
      </c>
      <c r="D58" s="191">
        <v>0.10650887573964497</v>
      </c>
      <c r="E58" s="77">
        <v>0.15989847715736041</v>
      </c>
      <c r="F58" s="192">
        <v>0.2</v>
      </c>
      <c r="G58" s="193">
        <v>0.14436619718309859</v>
      </c>
      <c r="N58"/>
      <c r="O58"/>
      <c r="P58"/>
    </row>
    <row r="59" spans="1:16" s="2" customFormat="1" ht="18" x14ac:dyDescent="0.25">
      <c r="A59" s="1" t="s">
        <v>4</v>
      </c>
      <c r="B59" s="79">
        <f>SUBTOTAL(109,Table54[Male (n=189)])</f>
        <v>1</v>
      </c>
      <c r="C59" s="79">
        <f>SUBTOTAL(109,Table54[Female (n=379)])</f>
        <v>1</v>
      </c>
      <c r="D59" s="194">
        <f>SUBTOTAL(109,Table54[Rural (n=169)])</f>
        <v>0.99999999999999989</v>
      </c>
      <c r="E59" s="195">
        <f>SUBTOTAL(109,Table54[Metro (n=394)])</f>
        <v>0.99999999999999989</v>
      </c>
      <c r="F59" s="196">
        <f>SUBTOTAL(109,Table54[Unknown location (n=5)])</f>
        <v>1</v>
      </c>
      <c r="G59" s="197">
        <f>SUBTOTAL(109,Table54[Total (n=568)])</f>
        <v>1</v>
      </c>
      <c r="N59"/>
      <c r="O59"/>
      <c r="P59"/>
    </row>
    <row r="60" spans="1:16" s="2" customFormat="1" ht="18" x14ac:dyDescent="0.25">
      <c r="A60" s="6"/>
      <c r="B60" s="6"/>
      <c r="C60" s="6"/>
      <c r="F60" s="3"/>
      <c r="N60"/>
      <c r="O60"/>
      <c r="P60"/>
    </row>
    <row r="61" spans="1:16" s="2" customFormat="1" ht="18" x14ac:dyDescent="0.25"/>
    <row r="62" spans="1:16" s="2" customFormat="1" ht="18" x14ac:dyDescent="0.25"/>
    <row r="63" spans="1:16" s="2" customFormat="1" ht="18" x14ac:dyDescent="0.25">
      <c r="A63" s="3" t="s">
        <v>385</v>
      </c>
      <c r="B63" s="3" t="s">
        <v>684</v>
      </c>
    </row>
    <row r="64" spans="1:16" s="2" customFormat="1" ht="18" x14ac:dyDescent="0.25">
      <c r="A64" s="4" t="s">
        <v>1</v>
      </c>
      <c r="B64" s="2" t="s">
        <v>685</v>
      </c>
    </row>
    <row r="65" spans="1:13" s="2" customFormat="1" ht="18" x14ac:dyDescent="0.25">
      <c r="I65"/>
      <c r="J65"/>
      <c r="K65"/>
      <c r="L65"/>
    </row>
    <row r="66" spans="1:13" s="33" customFormat="1" ht="36" x14ac:dyDescent="0.2">
      <c r="A66" s="122" t="s">
        <v>318</v>
      </c>
      <c r="B66" s="76" t="s">
        <v>678</v>
      </c>
      <c r="C66" s="76" t="s">
        <v>679</v>
      </c>
      <c r="D66" s="188" t="s">
        <v>681</v>
      </c>
      <c r="E66" s="76" t="s">
        <v>682</v>
      </c>
      <c r="F66" s="218" t="s">
        <v>638</v>
      </c>
      <c r="G66" s="76" t="s">
        <v>680</v>
      </c>
      <c r="I66" s="189"/>
      <c r="J66" s="189"/>
      <c r="K66" s="189"/>
      <c r="L66" s="189"/>
    </row>
    <row r="67" spans="1:13" s="2" customFormat="1" ht="18" x14ac:dyDescent="0.25">
      <c r="A67" s="124" t="s">
        <v>311</v>
      </c>
      <c r="B67" s="77">
        <v>0.2857142857142857</v>
      </c>
      <c r="C67" s="77">
        <v>0.28496042216358841</v>
      </c>
      <c r="D67" s="191">
        <v>0.34911242603550297</v>
      </c>
      <c r="E67" s="77">
        <v>0.25888324873096447</v>
      </c>
      <c r="F67" s="192">
        <v>0.2</v>
      </c>
      <c r="G67" s="193">
        <v>0.28521126760563381</v>
      </c>
      <c r="M67"/>
    </row>
    <row r="68" spans="1:13" s="2" customFormat="1" ht="18" x14ac:dyDescent="0.25">
      <c r="A68" s="124" t="s">
        <v>312</v>
      </c>
      <c r="B68" s="77">
        <v>3.7037037037037035E-2</v>
      </c>
      <c r="C68" s="77">
        <v>5.5408970976253295E-2</v>
      </c>
      <c r="D68" s="191">
        <v>5.9171597633136092E-2</v>
      </c>
      <c r="E68" s="77">
        <v>4.3147208121827409E-2</v>
      </c>
      <c r="F68" s="192">
        <v>0.2</v>
      </c>
      <c r="G68" s="193">
        <v>4.9295774647887321E-2</v>
      </c>
      <c r="M68"/>
    </row>
    <row r="69" spans="1:13" s="2" customFormat="1" ht="18" x14ac:dyDescent="0.25">
      <c r="A69" s="124" t="s">
        <v>313</v>
      </c>
      <c r="B69" s="77">
        <v>3.7037037037037035E-2</v>
      </c>
      <c r="C69" s="77">
        <v>3.430079155672823E-2</v>
      </c>
      <c r="D69" s="191">
        <v>3.5502958579881658E-2</v>
      </c>
      <c r="E69" s="77">
        <v>3.2994923857868022E-2</v>
      </c>
      <c r="F69" s="192">
        <v>0.2</v>
      </c>
      <c r="G69" s="193">
        <v>3.5211267605633804E-2</v>
      </c>
      <c r="M69"/>
    </row>
    <row r="70" spans="1:13" s="2" customFormat="1" ht="36" x14ac:dyDescent="0.25">
      <c r="A70" s="124" t="s">
        <v>314</v>
      </c>
      <c r="B70" s="77">
        <v>6.3492063492063502E-2</v>
      </c>
      <c r="C70" s="77">
        <v>5.2770448548812667E-2</v>
      </c>
      <c r="D70" s="191">
        <v>5.9171597633136092E-2</v>
      </c>
      <c r="E70" s="77">
        <v>5.5837563451776651E-2</v>
      </c>
      <c r="F70" s="192">
        <v>0</v>
      </c>
      <c r="G70" s="193">
        <v>5.6338028169014086E-2</v>
      </c>
      <c r="M70"/>
    </row>
    <row r="71" spans="1:13" s="2" customFormat="1" ht="36" x14ac:dyDescent="0.25">
      <c r="A71" s="124" t="s">
        <v>310</v>
      </c>
      <c r="B71" s="77">
        <v>8.9947089947089942E-2</v>
      </c>
      <c r="C71" s="77">
        <v>6.5963060686015831E-2</v>
      </c>
      <c r="D71" s="191">
        <v>5.3254437869822487E-2</v>
      </c>
      <c r="E71" s="77">
        <v>8.3756345177664976E-2</v>
      </c>
      <c r="F71" s="192">
        <v>0</v>
      </c>
      <c r="G71" s="193">
        <v>7.3943661971830985E-2</v>
      </c>
      <c r="M71"/>
    </row>
    <row r="72" spans="1:13" s="2" customFormat="1" ht="18" x14ac:dyDescent="0.25">
      <c r="A72" s="124" t="s">
        <v>315</v>
      </c>
      <c r="B72" s="77">
        <v>7.407407407407407E-2</v>
      </c>
      <c r="C72" s="77">
        <v>9.2348284960422161E-2</v>
      </c>
      <c r="D72" s="191">
        <v>8.2840236686390539E-2</v>
      </c>
      <c r="E72" s="77">
        <v>8.8832487309644673E-2</v>
      </c>
      <c r="F72" s="192">
        <v>0</v>
      </c>
      <c r="G72" s="193">
        <v>8.6267605633802813E-2</v>
      </c>
      <c r="M72"/>
    </row>
    <row r="73" spans="1:13" s="2" customFormat="1" ht="18" x14ac:dyDescent="0.25">
      <c r="A73" s="124" t="s">
        <v>41</v>
      </c>
      <c r="B73" s="77">
        <v>7.407407407407407E-2</v>
      </c>
      <c r="C73" s="77">
        <v>9.498680738786279E-2</v>
      </c>
      <c r="D73" s="191">
        <v>8.8757396449704137E-2</v>
      </c>
      <c r="E73" s="77">
        <v>8.8832487309644673E-2</v>
      </c>
      <c r="F73" s="192">
        <v>0</v>
      </c>
      <c r="G73" s="193">
        <v>8.8028169014084501E-2</v>
      </c>
      <c r="M73"/>
    </row>
    <row r="74" spans="1:13" s="2" customFormat="1" ht="36" x14ac:dyDescent="0.25">
      <c r="A74" s="124" t="s">
        <v>316</v>
      </c>
      <c r="B74" s="77">
        <v>0.33862433862433861</v>
      </c>
      <c r="C74" s="77">
        <v>0.31926121372031663</v>
      </c>
      <c r="D74" s="191">
        <v>0.27218934911242604</v>
      </c>
      <c r="E74" s="77">
        <v>0.34771573604060912</v>
      </c>
      <c r="F74" s="192">
        <v>0.4</v>
      </c>
      <c r="G74" s="193">
        <v>0.32570422535211269</v>
      </c>
      <c r="M74"/>
    </row>
    <row r="75" spans="1:13" s="2" customFormat="1" ht="18" x14ac:dyDescent="0.25">
      <c r="A75" s="1" t="s">
        <v>4</v>
      </c>
      <c r="B75" s="79">
        <f>SUBTOTAL(109,Table55[Male (n=189)])</f>
        <v>1</v>
      </c>
      <c r="C75" s="79">
        <f>SUBTOTAL(109,Table55[Female (n=379)])</f>
        <v>1</v>
      </c>
      <c r="D75" s="194">
        <f>SUBTOTAL(109,Table55[Rural (n=169)])</f>
        <v>1</v>
      </c>
      <c r="E75" s="195">
        <f>SUBTOTAL(109,Table55[Metro (n=394)])</f>
        <v>1</v>
      </c>
      <c r="F75" s="196">
        <f>SUBTOTAL(109,Table55[Unknown location (n=5)])</f>
        <v>1</v>
      </c>
      <c r="G75" s="197">
        <f>SUBTOTAL(109,Table55[Total (n=568)])</f>
        <v>1</v>
      </c>
      <c r="M75"/>
    </row>
    <row r="76" spans="1:13" s="2" customFormat="1" ht="18" x14ac:dyDescent="0.25">
      <c r="I76"/>
      <c r="J76"/>
      <c r="K76"/>
      <c r="L76"/>
    </row>
    <row r="77" spans="1:13" s="2" customFormat="1" ht="18" x14ac:dyDescent="0.25">
      <c r="A77" s="6"/>
      <c r="B77" s="6"/>
      <c r="C77" s="6"/>
      <c r="I77"/>
      <c r="J77"/>
      <c r="K77"/>
      <c r="L77"/>
    </row>
    <row r="78" spans="1:13" s="2" customFormat="1" ht="18" x14ac:dyDescent="0.25">
      <c r="A78" s="6"/>
      <c r="B78" s="6"/>
      <c r="C78" s="6"/>
      <c r="I78"/>
      <c r="J78"/>
      <c r="K78"/>
      <c r="L78"/>
    </row>
    <row r="79" spans="1:13" s="2" customFormat="1" ht="18" x14ac:dyDescent="0.25">
      <c r="A79" s="6"/>
      <c r="B79" s="6"/>
      <c r="C79" s="6"/>
      <c r="I79"/>
      <c r="J79"/>
      <c r="K79"/>
      <c r="L79"/>
    </row>
    <row r="80" spans="1:13" s="2" customFormat="1" ht="18.75" customHeight="1" x14ac:dyDescent="0.25">
      <c r="A80" s="3" t="s">
        <v>690</v>
      </c>
      <c r="B80" s="3" t="s">
        <v>955</v>
      </c>
    </row>
    <row r="81" spans="1:12" s="2" customFormat="1" ht="18.75" customHeight="1" x14ac:dyDescent="0.25">
      <c r="A81" s="4" t="s">
        <v>1</v>
      </c>
      <c r="B81" s="2" t="s">
        <v>958</v>
      </c>
    </row>
    <row r="82" spans="1:12" s="2" customFormat="1" ht="18.75" customHeight="1" x14ac:dyDescent="0.25"/>
    <row r="83" spans="1:12" s="2" customFormat="1" ht="18.75" customHeight="1" x14ac:dyDescent="0.25">
      <c r="A83" s="120" t="s">
        <v>127</v>
      </c>
      <c r="B83" s="87" t="s">
        <v>678</v>
      </c>
      <c r="C83" s="87" t="s">
        <v>679</v>
      </c>
      <c r="D83" s="135" t="s">
        <v>681</v>
      </c>
      <c r="E83" s="87" t="s">
        <v>682</v>
      </c>
      <c r="F83" s="218" t="s">
        <v>638</v>
      </c>
      <c r="G83" s="87" t="s">
        <v>680</v>
      </c>
    </row>
    <row r="84" spans="1:12" s="2" customFormat="1" ht="18.75" customHeight="1" x14ac:dyDescent="0.25">
      <c r="A84" s="124" t="s">
        <v>42</v>
      </c>
      <c r="B84" s="81">
        <v>2.1164021164021163E-2</v>
      </c>
      <c r="C84" s="81">
        <v>2.3746701846965697E-2</v>
      </c>
      <c r="D84" s="136">
        <v>3.5502958579881658E-2</v>
      </c>
      <c r="E84" s="81">
        <v>1.7766497461928935E-2</v>
      </c>
      <c r="F84" s="147">
        <v>0</v>
      </c>
      <c r="G84" s="149">
        <v>2.2887323943661973E-2</v>
      </c>
    </row>
    <row r="85" spans="1:12" s="2" customFormat="1" ht="18.75" customHeight="1" x14ac:dyDescent="0.25">
      <c r="A85" s="124" t="s">
        <v>43</v>
      </c>
      <c r="B85" s="81">
        <v>5.8201058201058198E-2</v>
      </c>
      <c r="C85" s="81">
        <v>6.3324538258575203E-2</v>
      </c>
      <c r="D85" s="136">
        <v>5.9171597633136092E-2</v>
      </c>
      <c r="E85" s="81">
        <v>6.3451776649746189E-2</v>
      </c>
      <c r="F85" s="147">
        <v>0</v>
      </c>
      <c r="G85" s="149">
        <v>6.1619718309859156E-2</v>
      </c>
    </row>
    <row r="86" spans="1:12" s="2" customFormat="1" ht="18.75" customHeight="1" x14ac:dyDescent="0.25">
      <c r="A86" s="124" t="s">
        <v>44</v>
      </c>
      <c r="B86" s="81">
        <v>0.3439153439153439</v>
      </c>
      <c r="C86" s="81">
        <v>0.32981530343007914</v>
      </c>
      <c r="D86" s="136">
        <v>0.27810650887573962</v>
      </c>
      <c r="E86" s="81">
        <v>0.3604060913705584</v>
      </c>
      <c r="F86" s="147">
        <v>0.2</v>
      </c>
      <c r="G86" s="149">
        <v>0.33450704225352113</v>
      </c>
      <c r="L86" s="3"/>
    </row>
    <row r="87" spans="1:12" s="2" customFormat="1" ht="18.75" customHeight="1" x14ac:dyDescent="0.25">
      <c r="A87" s="124" t="s">
        <v>45</v>
      </c>
      <c r="B87" s="81">
        <v>0.41269841269841268</v>
      </c>
      <c r="C87" s="81">
        <v>0.38522427440633245</v>
      </c>
      <c r="D87" s="136">
        <v>0.40828402366863903</v>
      </c>
      <c r="E87" s="81">
        <v>0.3883248730964467</v>
      </c>
      <c r="F87" s="147">
        <v>0.4</v>
      </c>
      <c r="G87" s="149">
        <v>0.39436619718309857</v>
      </c>
    </row>
    <row r="88" spans="1:12" s="2" customFormat="1" ht="18.75" customHeight="1" x14ac:dyDescent="0.25">
      <c r="A88" s="124" t="s">
        <v>46</v>
      </c>
      <c r="B88" s="81">
        <v>0.16402116402116401</v>
      </c>
      <c r="C88" s="81">
        <v>0.19788918205804748</v>
      </c>
      <c r="D88" s="136">
        <v>0.21893491124260356</v>
      </c>
      <c r="E88" s="81">
        <v>0.17005076142131981</v>
      </c>
      <c r="F88" s="147">
        <v>0.4</v>
      </c>
      <c r="G88" s="134">
        <v>0.18661971830985916</v>
      </c>
    </row>
    <row r="89" spans="1:12" s="2" customFormat="1" ht="18.75" customHeight="1" x14ac:dyDescent="0.25">
      <c r="A89" s="1" t="s">
        <v>4</v>
      </c>
      <c r="B89" s="102">
        <f>SUBTOTAL(109,Table56[Male (n=189)])</f>
        <v>1</v>
      </c>
      <c r="C89" s="102">
        <f>SUBTOTAL(109,Table56[Female (n=379)])</f>
        <v>1</v>
      </c>
      <c r="D89" s="138">
        <f>SUBTOTAL(109,Table56[Rural (n=169)])</f>
        <v>1</v>
      </c>
      <c r="E89" s="105">
        <f>SUBTOTAL(109,Table56[Metro (n=394)])</f>
        <v>1</v>
      </c>
      <c r="F89" s="148">
        <f>SUBTOTAL(109,Table56[Unknown location (n=5)])</f>
        <v>1</v>
      </c>
      <c r="G89" s="129">
        <f>SUBTOTAL(109,Table56[Total (n=568)])</f>
        <v>0.99999999999999989</v>
      </c>
    </row>
    <row r="90" spans="1:12" s="2" customFormat="1" ht="18.75" customHeight="1" x14ac:dyDescent="0.25">
      <c r="A90" s="1"/>
      <c r="B90" s="1"/>
      <c r="C90" s="1"/>
      <c r="D90" s="1"/>
      <c r="E90" s="1"/>
      <c r="F90" s="1"/>
      <c r="G90" s="100"/>
    </row>
    <row r="91" spans="1:12" s="2" customFormat="1" ht="18.75" customHeight="1" x14ac:dyDescent="0.25">
      <c r="A91" s="1"/>
      <c r="B91" s="1"/>
      <c r="C91" s="1"/>
      <c r="D91" s="1"/>
      <c r="E91" s="1"/>
      <c r="F91" s="1"/>
      <c r="G91" s="100"/>
    </row>
    <row r="92" spans="1:12" s="2" customFormat="1" ht="18.75" customHeight="1" x14ac:dyDescent="0.25">
      <c r="A92" s="1"/>
      <c r="B92" s="1"/>
      <c r="C92" s="1"/>
      <c r="D92" s="1"/>
      <c r="E92" s="1"/>
      <c r="F92" s="1"/>
      <c r="G92" s="100"/>
    </row>
    <row r="93" spans="1:12" s="2" customFormat="1" ht="18.75" customHeight="1" x14ac:dyDescent="0.25">
      <c r="A93" s="1"/>
      <c r="B93" s="1"/>
      <c r="C93" s="1"/>
      <c r="D93"/>
      <c r="E93"/>
      <c r="F93"/>
      <c r="G93"/>
      <c r="H93"/>
      <c r="I93"/>
    </row>
    <row r="94" spans="1:12" s="2" customFormat="1" ht="18" x14ac:dyDescent="0.25">
      <c r="A94" s="3" t="s">
        <v>691</v>
      </c>
      <c r="B94" s="3" t="s">
        <v>338</v>
      </c>
      <c r="D94"/>
      <c r="E94"/>
      <c r="F94"/>
      <c r="G94"/>
      <c r="H94"/>
      <c r="I94"/>
    </row>
    <row r="95" spans="1:12" s="2" customFormat="1" ht="18" x14ac:dyDescent="0.25">
      <c r="A95" s="4" t="s">
        <v>1</v>
      </c>
      <c r="B95" s="2" t="s">
        <v>694</v>
      </c>
      <c r="D95"/>
      <c r="E95"/>
      <c r="F95"/>
      <c r="G95"/>
      <c r="H95"/>
      <c r="I95"/>
    </row>
    <row r="96" spans="1:12" s="2" customFormat="1" ht="18" x14ac:dyDescent="0.25">
      <c r="A96" s="23"/>
      <c r="C96" s="6"/>
      <c r="D96"/>
      <c r="E96"/>
      <c r="F96"/>
      <c r="G96"/>
      <c r="H96"/>
      <c r="I96"/>
    </row>
    <row r="97" spans="1:12" s="2" customFormat="1" ht="36" x14ac:dyDescent="0.25">
      <c r="A97" s="120" t="s">
        <v>133</v>
      </c>
      <c r="B97" s="87" t="s">
        <v>18</v>
      </c>
      <c r="C97" s="6"/>
      <c r="D97"/>
      <c r="E97"/>
      <c r="F97"/>
      <c r="G97"/>
      <c r="H97"/>
      <c r="I97"/>
    </row>
    <row r="98" spans="1:12" s="2" customFormat="1" ht="36" x14ac:dyDescent="0.25">
      <c r="A98" s="124" t="s">
        <v>319</v>
      </c>
      <c r="B98" s="71">
        <v>154</v>
      </c>
      <c r="C98" s="6"/>
      <c r="D98"/>
      <c r="E98"/>
      <c r="F98"/>
      <c r="G98"/>
      <c r="H98"/>
      <c r="I98"/>
    </row>
    <row r="99" spans="1:12" s="2" customFormat="1" ht="36" x14ac:dyDescent="0.25">
      <c r="A99" s="124" t="s">
        <v>320</v>
      </c>
      <c r="B99" s="71">
        <v>279</v>
      </c>
      <c r="C99" s="6"/>
      <c r="D99"/>
      <c r="E99"/>
      <c r="F99"/>
      <c r="G99"/>
      <c r="H99"/>
      <c r="I99"/>
    </row>
    <row r="100" spans="1:12" s="2" customFormat="1" ht="36" x14ac:dyDescent="0.25">
      <c r="A100" s="124" t="s">
        <v>321</v>
      </c>
      <c r="B100" s="71">
        <v>151</v>
      </c>
      <c r="C100" s="6"/>
      <c r="D100" s="131"/>
      <c r="E100" s="132"/>
      <c r="F100"/>
      <c r="I100"/>
      <c r="J100"/>
      <c r="K100"/>
      <c r="L100"/>
    </row>
    <row r="101" spans="1:12" s="2" customFormat="1" ht="18" x14ac:dyDescent="0.25">
      <c r="A101" s="124" t="s">
        <v>47</v>
      </c>
      <c r="B101" s="71">
        <v>187</v>
      </c>
      <c r="C101" s="6"/>
      <c r="D101" s="131"/>
      <c r="E101" s="132"/>
      <c r="F101"/>
      <c r="I101"/>
      <c r="J101"/>
      <c r="K101"/>
      <c r="L101"/>
    </row>
    <row r="102" spans="1:12" s="2" customFormat="1" ht="18" x14ac:dyDescent="0.25">
      <c r="A102" s="124" t="s">
        <v>41</v>
      </c>
      <c r="B102" s="71">
        <v>117</v>
      </c>
      <c r="C102" s="6"/>
      <c r="D102" s="131"/>
      <c r="E102" s="132"/>
      <c r="F102"/>
      <c r="I102"/>
      <c r="J102"/>
      <c r="K102"/>
      <c r="L102"/>
    </row>
    <row r="103" spans="1:12" s="2" customFormat="1" ht="18" x14ac:dyDescent="0.25">
      <c r="A103" s="24"/>
      <c r="B103" s="24"/>
      <c r="C103" s="24"/>
      <c r="D103"/>
      <c r="E103"/>
      <c r="F103"/>
      <c r="I103"/>
      <c r="J103"/>
      <c r="K103"/>
      <c r="L103"/>
    </row>
    <row r="104" spans="1:12" s="2" customFormat="1" ht="18" x14ac:dyDescent="0.25">
      <c r="A104" s="24"/>
      <c r="B104" s="24"/>
      <c r="C104" s="24"/>
      <c r="D104"/>
      <c r="E104"/>
      <c r="F104"/>
      <c r="I104"/>
      <c r="J104"/>
      <c r="K104"/>
      <c r="L104"/>
    </row>
    <row r="105" spans="1:12" s="2" customFormat="1" ht="18" x14ac:dyDescent="0.25">
      <c r="D105"/>
      <c r="E105"/>
      <c r="F105"/>
      <c r="I105"/>
      <c r="J105"/>
      <c r="K105"/>
      <c r="L105"/>
    </row>
    <row r="106" spans="1:12" s="2" customFormat="1" ht="18" x14ac:dyDescent="0.25">
      <c r="A106" s="3" t="s">
        <v>692</v>
      </c>
      <c r="B106" s="3" t="s">
        <v>717</v>
      </c>
      <c r="D106"/>
      <c r="E106"/>
      <c r="F106"/>
      <c r="I106"/>
      <c r="J106"/>
      <c r="K106"/>
      <c r="L106"/>
    </row>
    <row r="107" spans="1:12" s="2" customFormat="1" ht="18" x14ac:dyDescent="0.25">
      <c r="A107" s="4" t="s">
        <v>1</v>
      </c>
      <c r="B107" s="2" t="s">
        <v>695</v>
      </c>
      <c r="I107"/>
      <c r="J107"/>
      <c r="K107"/>
      <c r="L107"/>
    </row>
    <row r="108" spans="1:12" s="2" customFormat="1" ht="18" x14ac:dyDescent="0.25">
      <c r="I108"/>
      <c r="J108"/>
      <c r="K108"/>
      <c r="L108"/>
    </row>
    <row r="109" spans="1:12" s="2" customFormat="1" ht="36" x14ac:dyDescent="0.25">
      <c r="A109" s="120" t="s">
        <v>584</v>
      </c>
      <c r="B109" s="87" t="s">
        <v>693</v>
      </c>
      <c r="C109" s="87" t="s">
        <v>896</v>
      </c>
      <c r="D109"/>
      <c r="F109"/>
      <c r="G109"/>
      <c r="H109"/>
      <c r="I109"/>
      <c r="J109"/>
      <c r="K109"/>
      <c r="L109"/>
    </row>
    <row r="110" spans="1:12" s="2" customFormat="1" ht="18" x14ac:dyDescent="0.25">
      <c r="A110" s="124" t="s">
        <v>2</v>
      </c>
      <c r="B110" s="125">
        <v>300</v>
      </c>
      <c r="C110" s="125">
        <v>30</v>
      </c>
      <c r="D110"/>
      <c r="F110"/>
      <c r="G110"/>
      <c r="H110"/>
      <c r="I110"/>
      <c r="J110"/>
      <c r="K110"/>
      <c r="L110"/>
    </row>
    <row r="111" spans="1:12" s="2" customFormat="1" ht="18" x14ac:dyDescent="0.25">
      <c r="A111" s="124" t="s">
        <v>3</v>
      </c>
      <c r="B111" s="125">
        <v>1170</v>
      </c>
      <c r="C111" s="125">
        <v>46</v>
      </c>
      <c r="D111"/>
      <c r="F111"/>
      <c r="G111"/>
      <c r="H111"/>
      <c r="I111"/>
      <c r="J111"/>
      <c r="K111"/>
      <c r="L111"/>
    </row>
    <row r="112" spans="1:12" s="2" customFormat="1" ht="18" x14ac:dyDescent="0.25">
      <c r="A112" s="1" t="s">
        <v>4</v>
      </c>
      <c r="B112" s="98">
        <f>SUBTOTAL(109,Table58[Total department-funded headcount])</f>
        <v>1470</v>
      </c>
      <c r="C112" s="98">
        <f>SUBTOTAL(109,Table58[Departures by headcount])</f>
        <v>76</v>
      </c>
      <c r="D112"/>
      <c r="F112"/>
      <c r="G112"/>
      <c r="H112"/>
      <c r="I112"/>
      <c r="J112"/>
      <c r="K112"/>
      <c r="L112"/>
    </row>
    <row r="113" spans="1:12" s="2" customFormat="1" ht="18" x14ac:dyDescent="0.25">
      <c r="A113"/>
      <c r="B113"/>
      <c r="C113"/>
      <c r="D113"/>
      <c r="F113"/>
      <c r="G113"/>
      <c r="H113"/>
      <c r="I113"/>
      <c r="J113"/>
      <c r="K113"/>
      <c r="L113"/>
    </row>
    <row r="114" spans="1:12" s="2" customFormat="1" ht="18" x14ac:dyDescent="0.25">
      <c r="A114"/>
      <c r="B114"/>
      <c r="C114"/>
      <c r="D114"/>
      <c r="F114"/>
      <c r="G114"/>
      <c r="H114"/>
      <c r="I114"/>
      <c r="J114"/>
      <c r="K114"/>
      <c r="L114"/>
    </row>
    <row r="115" spans="1:12" s="2" customFormat="1" ht="18" x14ac:dyDescent="0.25">
      <c r="F115"/>
      <c r="G115"/>
      <c r="H115"/>
      <c r="I115"/>
      <c r="J115"/>
      <c r="K115"/>
      <c r="L115"/>
    </row>
    <row r="116" spans="1:12" s="2" customFormat="1" ht="18" x14ac:dyDescent="0.25">
      <c r="A116" s="3" t="s">
        <v>696</v>
      </c>
      <c r="B116" s="3" t="s">
        <v>339</v>
      </c>
      <c r="C116" s="3"/>
      <c r="D116" s="3"/>
      <c r="F116"/>
      <c r="G116"/>
      <c r="H116"/>
      <c r="I116"/>
      <c r="J116"/>
      <c r="K116"/>
      <c r="L116"/>
    </row>
    <row r="117" spans="1:12" s="2" customFormat="1" ht="18" x14ac:dyDescent="0.25">
      <c r="A117" s="4" t="s">
        <v>1</v>
      </c>
      <c r="B117" s="2" t="s">
        <v>957</v>
      </c>
      <c r="F117"/>
      <c r="G117"/>
      <c r="H117"/>
      <c r="I117"/>
      <c r="J117"/>
      <c r="K117"/>
      <c r="L117"/>
    </row>
    <row r="118" spans="1:12" s="2" customFormat="1" ht="18" x14ac:dyDescent="0.25">
      <c r="F118"/>
      <c r="G118"/>
      <c r="H118"/>
      <c r="I118"/>
      <c r="J118"/>
      <c r="K118"/>
      <c r="L118"/>
    </row>
    <row r="119" spans="1:12" s="2" customFormat="1" ht="18" x14ac:dyDescent="0.25">
      <c r="A119" s="120" t="s">
        <v>128</v>
      </c>
      <c r="B119" s="87" t="s">
        <v>2</v>
      </c>
      <c r="C119" s="87" t="s">
        <v>3</v>
      </c>
      <c r="D119" s="87" t="s">
        <v>4</v>
      </c>
      <c r="F119"/>
      <c r="G119"/>
      <c r="H119"/>
      <c r="I119"/>
      <c r="J119"/>
      <c r="K119"/>
      <c r="L119"/>
    </row>
    <row r="120" spans="1:12" s="2" customFormat="1" ht="18" x14ac:dyDescent="0.25">
      <c r="A120" s="124" t="s">
        <v>68</v>
      </c>
      <c r="B120" s="121">
        <v>7</v>
      </c>
      <c r="C120" s="121">
        <v>4</v>
      </c>
      <c r="D120" s="121">
        <f>SUM(B120:C120)</f>
        <v>11</v>
      </c>
      <c r="F120"/>
      <c r="G120"/>
      <c r="H120"/>
      <c r="I120"/>
      <c r="J120"/>
      <c r="K120"/>
      <c r="L120"/>
    </row>
    <row r="121" spans="1:12" s="2" customFormat="1" ht="18" x14ac:dyDescent="0.25">
      <c r="A121" s="124" t="s">
        <v>69</v>
      </c>
      <c r="B121" s="121">
        <v>2</v>
      </c>
      <c r="C121" s="121">
        <v>15</v>
      </c>
      <c r="D121" s="121">
        <f t="shared" ref="D121:D139" si="0">SUM(B121:C121)</f>
        <v>17</v>
      </c>
      <c r="I121"/>
      <c r="J121"/>
      <c r="K121"/>
      <c r="L121"/>
    </row>
    <row r="122" spans="1:12" s="2" customFormat="1" ht="18" x14ac:dyDescent="0.25">
      <c r="A122" s="124" t="s">
        <v>67</v>
      </c>
      <c r="B122" s="121">
        <v>8</v>
      </c>
      <c r="C122" s="121">
        <v>14</v>
      </c>
      <c r="D122" s="121">
        <f t="shared" si="0"/>
        <v>22</v>
      </c>
      <c r="I122"/>
      <c r="J122"/>
      <c r="K122"/>
      <c r="L122"/>
    </row>
    <row r="123" spans="1:12" s="2" customFormat="1" ht="18" x14ac:dyDescent="0.25">
      <c r="A123" s="124" t="s">
        <v>322</v>
      </c>
      <c r="B123" s="121">
        <v>22</v>
      </c>
      <c r="C123" s="121">
        <v>30</v>
      </c>
      <c r="D123" s="121">
        <f t="shared" si="0"/>
        <v>52</v>
      </c>
      <c r="I123"/>
      <c r="J123"/>
      <c r="K123"/>
      <c r="L123"/>
    </row>
    <row r="124" spans="1:12" s="2" customFormat="1" ht="18" x14ac:dyDescent="0.25">
      <c r="A124" s="124" t="s">
        <v>323</v>
      </c>
      <c r="B124" s="121">
        <v>3</v>
      </c>
      <c r="C124" s="121">
        <v>11</v>
      </c>
      <c r="D124" s="121">
        <f t="shared" si="0"/>
        <v>14</v>
      </c>
      <c r="I124"/>
      <c r="J124"/>
      <c r="K124"/>
      <c r="L124"/>
    </row>
    <row r="125" spans="1:12" s="2" customFormat="1" ht="18" x14ac:dyDescent="0.25">
      <c r="A125" s="124" t="s">
        <v>324</v>
      </c>
      <c r="B125" s="121">
        <v>8</v>
      </c>
      <c r="C125" s="121">
        <v>15</v>
      </c>
      <c r="D125" s="121">
        <f t="shared" si="0"/>
        <v>23</v>
      </c>
      <c r="I125"/>
      <c r="J125"/>
      <c r="K125"/>
      <c r="L125"/>
    </row>
    <row r="126" spans="1:12" s="2" customFormat="1" ht="18" x14ac:dyDescent="0.25">
      <c r="A126" s="124" t="s">
        <v>325</v>
      </c>
      <c r="B126" s="121">
        <v>1</v>
      </c>
      <c r="C126" s="121">
        <v>0</v>
      </c>
      <c r="D126" s="121">
        <f t="shared" si="0"/>
        <v>1</v>
      </c>
      <c r="I126"/>
      <c r="J126"/>
      <c r="K126"/>
      <c r="L126"/>
    </row>
    <row r="127" spans="1:12" s="2" customFormat="1" ht="18" x14ac:dyDescent="0.25">
      <c r="A127" s="124" t="s">
        <v>326</v>
      </c>
      <c r="B127" s="121">
        <v>0</v>
      </c>
      <c r="C127" s="121">
        <v>0</v>
      </c>
      <c r="D127" s="121">
        <f t="shared" si="0"/>
        <v>0</v>
      </c>
      <c r="I127"/>
      <c r="J127"/>
      <c r="K127"/>
      <c r="L127"/>
    </row>
    <row r="128" spans="1:12" s="2" customFormat="1" ht="18" x14ac:dyDescent="0.25">
      <c r="A128" s="124" t="s">
        <v>327</v>
      </c>
      <c r="B128" s="121">
        <v>1</v>
      </c>
      <c r="C128" s="121">
        <v>2</v>
      </c>
      <c r="D128" s="121">
        <f t="shared" si="0"/>
        <v>3</v>
      </c>
      <c r="I128"/>
      <c r="J128"/>
      <c r="K128"/>
      <c r="L128"/>
    </row>
    <row r="129" spans="1:12" s="2" customFormat="1" ht="18" x14ac:dyDescent="0.25">
      <c r="A129" s="124" t="s">
        <v>328</v>
      </c>
      <c r="B129" s="121">
        <v>0</v>
      </c>
      <c r="C129" s="121">
        <v>2</v>
      </c>
      <c r="D129" s="121">
        <f t="shared" si="0"/>
        <v>2</v>
      </c>
      <c r="I129"/>
      <c r="J129"/>
      <c r="K129"/>
      <c r="L129"/>
    </row>
    <row r="130" spans="1:12" s="2" customFormat="1" ht="18" x14ac:dyDescent="0.25">
      <c r="A130" s="124" t="s">
        <v>329</v>
      </c>
      <c r="B130" s="121">
        <v>4</v>
      </c>
      <c r="C130" s="121">
        <v>0</v>
      </c>
      <c r="D130" s="121">
        <f t="shared" si="0"/>
        <v>4</v>
      </c>
      <c r="I130"/>
      <c r="J130"/>
      <c r="K130"/>
      <c r="L130"/>
    </row>
    <row r="131" spans="1:12" s="2" customFormat="1" ht="18" x14ac:dyDescent="0.25">
      <c r="A131" s="124" t="s">
        <v>330</v>
      </c>
      <c r="B131" s="121">
        <v>4</v>
      </c>
      <c r="C131" s="121">
        <v>6</v>
      </c>
      <c r="D131" s="121">
        <f t="shared" si="0"/>
        <v>10</v>
      </c>
      <c r="I131"/>
      <c r="J131"/>
      <c r="K131"/>
      <c r="L131"/>
    </row>
    <row r="132" spans="1:12" s="2" customFormat="1" ht="18" x14ac:dyDescent="0.25">
      <c r="A132" s="124" t="s">
        <v>331</v>
      </c>
      <c r="B132" s="121">
        <v>2</v>
      </c>
      <c r="C132" s="121">
        <v>7</v>
      </c>
      <c r="D132" s="121">
        <f t="shared" si="0"/>
        <v>9</v>
      </c>
      <c r="I132"/>
      <c r="J132"/>
      <c r="K132"/>
      <c r="L132"/>
    </row>
    <row r="133" spans="1:12" s="2" customFormat="1" ht="18" x14ac:dyDescent="0.25">
      <c r="A133" s="124" t="s">
        <v>332</v>
      </c>
      <c r="B133" s="121">
        <v>1</v>
      </c>
      <c r="C133" s="121">
        <v>5</v>
      </c>
      <c r="D133" s="121">
        <f t="shared" si="0"/>
        <v>6</v>
      </c>
      <c r="I133"/>
      <c r="J133"/>
      <c r="K133"/>
      <c r="L133"/>
    </row>
    <row r="134" spans="1:12" s="2" customFormat="1" ht="18" x14ac:dyDescent="0.25">
      <c r="A134" s="124" t="s">
        <v>333</v>
      </c>
      <c r="B134" s="121">
        <v>6</v>
      </c>
      <c r="C134" s="121">
        <v>3</v>
      </c>
      <c r="D134" s="121">
        <f t="shared" si="0"/>
        <v>9</v>
      </c>
      <c r="I134"/>
      <c r="J134"/>
      <c r="K134"/>
      <c r="L134"/>
    </row>
    <row r="135" spans="1:12" s="2" customFormat="1" ht="18" x14ac:dyDescent="0.25">
      <c r="A135" s="124" t="s">
        <v>334</v>
      </c>
      <c r="B135" s="121">
        <v>2</v>
      </c>
      <c r="C135" s="121">
        <v>5</v>
      </c>
      <c r="D135" s="121">
        <f t="shared" si="0"/>
        <v>7</v>
      </c>
      <c r="I135"/>
      <c r="J135"/>
      <c r="K135"/>
      <c r="L135"/>
    </row>
    <row r="136" spans="1:12" s="2" customFormat="1" ht="18" x14ac:dyDescent="0.25">
      <c r="A136" s="124" t="s">
        <v>335</v>
      </c>
      <c r="B136" s="121">
        <v>7</v>
      </c>
      <c r="C136" s="121">
        <v>8</v>
      </c>
      <c r="D136" s="121">
        <f t="shared" si="0"/>
        <v>15</v>
      </c>
      <c r="I136"/>
      <c r="J136"/>
      <c r="K136"/>
      <c r="L136"/>
    </row>
    <row r="137" spans="1:12" s="7" customFormat="1" ht="18" x14ac:dyDescent="0.25">
      <c r="A137" s="124" t="s">
        <v>336</v>
      </c>
      <c r="B137" s="121">
        <v>0</v>
      </c>
      <c r="C137" s="121">
        <v>3</v>
      </c>
      <c r="D137" s="121">
        <f t="shared" si="0"/>
        <v>3</v>
      </c>
      <c r="E137" s="2"/>
      <c r="F137" s="2"/>
      <c r="G137" s="2"/>
      <c r="I137"/>
      <c r="J137"/>
      <c r="K137"/>
      <c r="L137"/>
    </row>
    <row r="138" spans="1:12" s="2" customFormat="1" ht="18" x14ac:dyDescent="0.25">
      <c r="A138" s="124" t="s">
        <v>337</v>
      </c>
      <c r="B138" s="121">
        <v>11</v>
      </c>
      <c r="C138" s="121">
        <v>8</v>
      </c>
      <c r="D138" s="121">
        <f t="shared" si="0"/>
        <v>19</v>
      </c>
      <c r="I138"/>
      <c r="J138"/>
      <c r="K138"/>
      <c r="L138"/>
    </row>
    <row r="139" spans="1:12" s="2" customFormat="1" ht="18" x14ac:dyDescent="0.25">
      <c r="A139" s="124" t="s">
        <v>334</v>
      </c>
      <c r="B139" s="121">
        <v>30</v>
      </c>
      <c r="C139" s="121">
        <v>46</v>
      </c>
      <c r="D139" s="121">
        <f t="shared" si="0"/>
        <v>76</v>
      </c>
      <c r="I139"/>
      <c r="J139"/>
      <c r="K139"/>
      <c r="L139"/>
    </row>
    <row r="140" spans="1:12" ht="18" x14ac:dyDescent="0.25">
      <c r="A140"/>
      <c r="B140"/>
      <c r="C140"/>
      <c r="D140"/>
    </row>
    <row r="141" spans="1:12" ht="18.75" customHeight="1" x14ac:dyDescent="0.25">
      <c r="A141" s="21"/>
    </row>
    <row r="142" spans="1:12" ht="18.75" customHeight="1" x14ac:dyDescent="0.25">
      <c r="A142" s="21"/>
    </row>
    <row r="143" spans="1:12" ht="18.75" customHeight="1" x14ac:dyDescent="0.25">
      <c r="A143" s="3" t="s">
        <v>697</v>
      </c>
      <c r="B143" s="3" t="s">
        <v>88</v>
      </c>
    </row>
    <row r="144" spans="1:12" ht="18.75" customHeight="1" x14ac:dyDescent="0.25">
      <c r="A144" s="4" t="s">
        <v>1</v>
      </c>
      <c r="B144" s="2" t="s">
        <v>716</v>
      </c>
    </row>
    <row r="145" spans="1:7" ht="18.75" customHeight="1" x14ac:dyDescent="0.25">
      <c r="A145" s="4"/>
    </row>
    <row r="146" spans="1:7" ht="36" x14ac:dyDescent="0.25">
      <c r="A146" s="83" t="s">
        <v>123</v>
      </c>
      <c r="B146" s="87" t="s">
        <v>959</v>
      </c>
      <c r="C146" s="87" t="s">
        <v>341</v>
      </c>
    </row>
    <row r="147" spans="1:7" ht="18.75" customHeight="1" x14ac:dyDescent="0.25">
      <c r="A147" s="124" t="s">
        <v>85</v>
      </c>
      <c r="B147" s="71">
        <v>68</v>
      </c>
      <c r="C147" s="81">
        <f>B147/76</f>
        <v>0.89473684210526316</v>
      </c>
    </row>
    <row r="148" spans="1:7" ht="36" x14ac:dyDescent="0.25">
      <c r="A148" s="124" t="s">
        <v>86</v>
      </c>
      <c r="B148" s="71">
        <v>60</v>
      </c>
      <c r="C148" s="81">
        <f t="shared" ref="C148:C153" si="1">B148/76</f>
        <v>0.78947368421052633</v>
      </c>
    </row>
    <row r="149" spans="1:7" ht="18.75" customHeight="1" x14ac:dyDescent="0.25">
      <c r="A149" s="124" t="s">
        <v>87</v>
      </c>
      <c r="B149" s="71">
        <v>22</v>
      </c>
      <c r="C149" s="81">
        <f t="shared" si="1"/>
        <v>0.28947368421052633</v>
      </c>
    </row>
    <row r="150" spans="1:7" ht="18.75" customHeight="1" x14ac:dyDescent="0.25">
      <c r="A150" s="124" t="s">
        <v>83</v>
      </c>
      <c r="B150" s="71">
        <v>21</v>
      </c>
      <c r="C150" s="81">
        <f t="shared" si="1"/>
        <v>0.27631578947368424</v>
      </c>
    </row>
    <row r="151" spans="1:7" ht="18.75" customHeight="1" x14ac:dyDescent="0.25">
      <c r="A151" s="124" t="s">
        <v>84</v>
      </c>
      <c r="B151" s="71">
        <v>33</v>
      </c>
      <c r="C151" s="81">
        <f t="shared" si="1"/>
        <v>0.43421052631578949</v>
      </c>
    </row>
    <row r="152" spans="1:7" ht="18.75" customHeight="1" x14ac:dyDescent="0.25">
      <c r="A152" s="124" t="s">
        <v>340</v>
      </c>
      <c r="B152" s="71">
        <v>26</v>
      </c>
      <c r="C152" s="81">
        <f t="shared" si="1"/>
        <v>0.34210526315789475</v>
      </c>
    </row>
    <row r="153" spans="1:7" ht="18.75" customHeight="1" x14ac:dyDescent="0.25">
      <c r="A153" s="124" t="s">
        <v>41</v>
      </c>
      <c r="B153" s="71">
        <v>18</v>
      </c>
      <c r="C153" s="81">
        <f t="shared" si="1"/>
        <v>0.23684210526315788</v>
      </c>
    </row>
    <row r="154" spans="1:7" ht="18.75" customHeight="1" x14ac:dyDescent="0.25">
      <c r="A154" s="124"/>
      <c r="B154" s="71"/>
      <c r="C154" s="81"/>
    </row>
    <row r="155" spans="1:7" ht="18.75" customHeight="1" x14ac:dyDescent="0.25">
      <c r="A155" s="124"/>
      <c r="B155" s="71"/>
      <c r="C155" s="81"/>
    </row>
    <row r="157" spans="1:7" ht="18.75" customHeight="1" x14ac:dyDescent="0.25">
      <c r="A157" s="3" t="s">
        <v>720</v>
      </c>
      <c r="B157" s="3" t="s">
        <v>96</v>
      </c>
      <c r="C157" s="3"/>
      <c r="D157" s="3"/>
    </row>
    <row r="158" spans="1:7" ht="18.75" customHeight="1" x14ac:dyDescent="0.25">
      <c r="A158" s="4" t="s">
        <v>1</v>
      </c>
      <c r="B158" s="2" t="s">
        <v>700</v>
      </c>
      <c r="E158" s="3"/>
      <c r="F158" s="3"/>
      <c r="G158" s="3"/>
    </row>
    <row r="159" spans="1:7" ht="18.75" customHeight="1" x14ac:dyDescent="0.25">
      <c r="E159"/>
      <c r="F159"/>
      <c r="G159"/>
    </row>
    <row r="160" spans="1:7" ht="36" x14ac:dyDescent="0.25">
      <c r="A160" s="83" t="s">
        <v>129</v>
      </c>
      <c r="B160" s="76" t="s">
        <v>959</v>
      </c>
      <c r="C160" s="76" t="s">
        <v>363</v>
      </c>
      <c r="D160" s="16"/>
      <c r="E160"/>
      <c r="F160"/>
      <c r="G160"/>
    </row>
    <row r="161" spans="1:7" ht="36" x14ac:dyDescent="0.25">
      <c r="A161" s="124" t="s">
        <v>78</v>
      </c>
      <c r="B161" s="80">
        <v>56</v>
      </c>
      <c r="C161" s="154">
        <f>B161/77</f>
        <v>0.72727272727272729</v>
      </c>
      <c r="D161" s="16"/>
      <c r="E161"/>
      <c r="F161"/>
      <c r="G161"/>
    </row>
    <row r="162" spans="1:7" ht="36" x14ac:dyDescent="0.25">
      <c r="A162" s="124" t="s">
        <v>79</v>
      </c>
      <c r="B162" s="80">
        <v>41</v>
      </c>
      <c r="C162" s="154">
        <f t="shared" ref="C162:C169" si="2">B162/77</f>
        <v>0.53246753246753242</v>
      </c>
      <c r="D162" s="16"/>
      <c r="E162"/>
      <c r="F162"/>
      <c r="G162"/>
    </row>
    <row r="163" spans="1:7" ht="18.75" customHeight="1" x14ac:dyDescent="0.25">
      <c r="A163" s="124" t="s">
        <v>356</v>
      </c>
      <c r="B163" s="80">
        <v>38</v>
      </c>
      <c r="C163" s="154">
        <f t="shared" si="2"/>
        <v>0.4935064935064935</v>
      </c>
      <c r="D163" s="16"/>
      <c r="E163"/>
      <c r="F163"/>
      <c r="G163"/>
    </row>
    <row r="164" spans="1:7" ht="18.75" customHeight="1" x14ac:dyDescent="0.25">
      <c r="A164" s="124" t="s">
        <v>120</v>
      </c>
      <c r="B164" s="80">
        <v>30</v>
      </c>
      <c r="C164" s="154">
        <f t="shared" si="2"/>
        <v>0.38961038961038963</v>
      </c>
      <c r="D164" s="16"/>
      <c r="E164"/>
      <c r="F164"/>
      <c r="G164"/>
    </row>
    <row r="165" spans="1:7" ht="18.75" customHeight="1" x14ac:dyDescent="0.25">
      <c r="A165" s="124" t="s">
        <v>358</v>
      </c>
      <c r="B165" s="80">
        <v>16</v>
      </c>
      <c r="C165" s="154">
        <f t="shared" si="2"/>
        <v>0.20779220779220781</v>
      </c>
      <c r="D165" s="16"/>
      <c r="E165"/>
      <c r="F165"/>
      <c r="G165"/>
    </row>
    <row r="166" spans="1:7" ht="36" x14ac:dyDescent="0.25">
      <c r="A166" s="124" t="s">
        <v>718</v>
      </c>
      <c r="B166" s="80">
        <v>15</v>
      </c>
      <c r="C166" s="154">
        <f t="shared" si="2"/>
        <v>0.19480519480519481</v>
      </c>
      <c r="D166" s="16"/>
      <c r="E166"/>
      <c r="F166"/>
      <c r="G166"/>
    </row>
    <row r="167" spans="1:7" ht="18.75" customHeight="1" x14ac:dyDescent="0.25">
      <c r="A167" s="124" t="s">
        <v>719</v>
      </c>
      <c r="B167" s="80">
        <v>15</v>
      </c>
      <c r="C167" s="154">
        <f t="shared" si="2"/>
        <v>0.19480519480519481</v>
      </c>
      <c r="D167" s="16"/>
      <c r="E167"/>
      <c r="F167"/>
      <c r="G167"/>
    </row>
    <row r="168" spans="1:7" ht="36" x14ac:dyDescent="0.25">
      <c r="A168" s="124" t="s">
        <v>81</v>
      </c>
      <c r="B168" s="80">
        <v>14</v>
      </c>
      <c r="C168" s="154">
        <f t="shared" si="2"/>
        <v>0.18181818181818182</v>
      </c>
      <c r="D168" s="16"/>
      <c r="E168"/>
      <c r="F168"/>
      <c r="G168"/>
    </row>
    <row r="169" spans="1:7" ht="18.75" customHeight="1" x14ac:dyDescent="0.25">
      <c r="A169" s="106" t="s">
        <v>41</v>
      </c>
      <c r="B169" s="71">
        <v>12</v>
      </c>
      <c r="C169" s="154">
        <f t="shared" si="2"/>
        <v>0.15584415584415584</v>
      </c>
      <c r="E169"/>
      <c r="F169"/>
      <c r="G169"/>
    </row>
    <row r="170" spans="1:7" ht="18.75" customHeight="1" x14ac:dyDescent="0.25">
      <c r="A170" s="106"/>
      <c r="B170" s="71"/>
      <c r="C170" s="154"/>
      <c r="E170"/>
      <c r="F170"/>
      <c r="G170"/>
    </row>
    <row r="171" spans="1:7" ht="18.75" customHeight="1" x14ac:dyDescent="0.25">
      <c r="A171" s="106"/>
      <c r="B171" s="71"/>
      <c r="C171" s="154"/>
      <c r="E171"/>
      <c r="F171"/>
      <c r="G171"/>
    </row>
    <row r="172" spans="1:7" ht="18.75" customHeight="1" x14ac:dyDescent="0.25">
      <c r="A172" s="14"/>
      <c r="E172"/>
      <c r="F172"/>
      <c r="G172"/>
    </row>
    <row r="173" spans="1:7" ht="18.75" customHeight="1" x14ac:dyDescent="0.25">
      <c r="A173" s="3" t="s">
        <v>725</v>
      </c>
      <c r="B173" s="3" t="s">
        <v>110</v>
      </c>
    </row>
    <row r="174" spans="1:7" ht="18.75" customHeight="1" x14ac:dyDescent="0.25">
      <c r="A174" s="4" t="s">
        <v>1</v>
      </c>
      <c r="B174" s="2" t="s">
        <v>722</v>
      </c>
    </row>
    <row r="175" spans="1:7" ht="18.75" customHeight="1" x14ac:dyDescent="0.25">
      <c r="A175" s="23"/>
      <c r="B175" s="156"/>
      <c r="C175" s="156"/>
      <c r="D175" s="156"/>
      <c r="E175" s="247"/>
      <c r="F175" s="247"/>
      <c r="G175" s="247"/>
    </row>
    <row r="176" spans="1:7" ht="38.25" customHeight="1" x14ac:dyDescent="0.25">
      <c r="A176" s="158" t="s">
        <v>721</v>
      </c>
      <c r="B176" s="78" t="s">
        <v>18</v>
      </c>
      <c r="C176" s="78" t="s">
        <v>363</v>
      </c>
      <c r="E176"/>
      <c r="F176"/>
      <c r="G176"/>
    </row>
    <row r="177" spans="1:7" ht="36" x14ac:dyDescent="0.25">
      <c r="A177" s="158" t="s">
        <v>376</v>
      </c>
      <c r="B177" s="78">
        <v>72</v>
      </c>
      <c r="C177" s="160">
        <v>0.93506493506493504</v>
      </c>
      <c r="E177"/>
      <c r="F177"/>
      <c r="G177"/>
    </row>
    <row r="178" spans="1:7" ht="18.75" customHeight="1" x14ac:dyDescent="0.25">
      <c r="A178" s="158" t="s">
        <v>113</v>
      </c>
      <c r="B178" s="78">
        <v>65</v>
      </c>
      <c r="C178" s="160">
        <v>0.8441558441558441</v>
      </c>
      <c r="E178"/>
      <c r="F178"/>
      <c r="G178"/>
    </row>
    <row r="179" spans="1:7" ht="18.75" customHeight="1" x14ac:dyDescent="0.25">
      <c r="A179" s="158" t="s">
        <v>377</v>
      </c>
      <c r="B179" s="78">
        <v>54</v>
      </c>
      <c r="C179" s="160">
        <v>0.70129870129870131</v>
      </c>
      <c r="E179"/>
      <c r="F179"/>
      <c r="G179"/>
    </row>
    <row r="180" spans="1:7" ht="18.75" customHeight="1" x14ac:dyDescent="0.25">
      <c r="A180" s="158" t="s">
        <v>382</v>
      </c>
      <c r="B180" s="78">
        <v>45</v>
      </c>
      <c r="C180" s="160">
        <v>0.58441558441558439</v>
      </c>
      <c r="E180" s="156"/>
      <c r="F180"/>
      <c r="G180"/>
    </row>
    <row r="181" spans="1:7" ht="18.75" customHeight="1" x14ac:dyDescent="0.25">
      <c r="A181" s="158" t="s">
        <v>383</v>
      </c>
      <c r="B181" s="78">
        <v>43</v>
      </c>
      <c r="C181" s="160">
        <v>0.55844155844155841</v>
      </c>
      <c r="E181" s="156"/>
      <c r="F181"/>
      <c r="G181"/>
    </row>
    <row r="182" spans="1:7" ht="36" x14ac:dyDescent="0.25">
      <c r="A182" s="158" t="s">
        <v>375</v>
      </c>
      <c r="B182" s="78">
        <v>30</v>
      </c>
      <c r="C182" s="160">
        <v>0.38961038961038963</v>
      </c>
      <c r="E182" s="156"/>
      <c r="F182"/>
      <c r="G182"/>
    </row>
    <row r="183" spans="1:7" ht="18.75" customHeight="1" x14ac:dyDescent="0.25">
      <c r="A183" s="158" t="s">
        <v>112</v>
      </c>
      <c r="B183" s="78">
        <v>30</v>
      </c>
      <c r="C183" s="160">
        <v>0.38961038961038963</v>
      </c>
      <c r="E183" s="156"/>
      <c r="F183"/>
      <c r="G183"/>
    </row>
    <row r="184" spans="1:7" ht="18.75" customHeight="1" x14ac:dyDescent="0.25">
      <c r="A184" s="158" t="s">
        <v>380</v>
      </c>
      <c r="B184" s="78">
        <v>19</v>
      </c>
      <c r="C184" s="160">
        <v>0.24675324675324675</v>
      </c>
      <c r="E184" s="156"/>
      <c r="F184"/>
      <c r="G184"/>
    </row>
    <row r="185" spans="1:7" ht="18.75" customHeight="1" x14ac:dyDescent="0.25">
      <c r="A185" s="158" t="s">
        <v>379</v>
      </c>
      <c r="B185" s="78">
        <v>16</v>
      </c>
      <c r="C185" s="160">
        <v>0.20779220779220781</v>
      </c>
      <c r="E185" s="156"/>
      <c r="F185"/>
      <c r="G185"/>
    </row>
    <row r="186" spans="1:7" ht="18.75" customHeight="1" x14ac:dyDescent="0.25">
      <c r="A186" s="158" t="s">
        <v>381</v>
      </c>
      <c r="B186" s="78">
        <v>7</v>
      </c>
      <c r="C186" s="160">
        <v>9.0909090909090912E-2</v>
      </c>
      <c r="E186" s="156"/>
      <c r="F186"/>
      <c r="G186"/>
    </row>
    <row r="187" spans="1:7" ht="18.75" customHeight="1" x14ac:dyDescent="0.25">
      <c r="A187" s="158" t="s">
        <v>41</v>
      </c>
      <c r="B187" s="78">
        <v>6</v>
      </c>
      <c r="C187" s="160">
        <v>7.792207792207792E-2</v>
      </c>
      <c r="E187" s="16"/>
      <c r="F187" s="16"/>
      <c r="G187" s="16"/>
    </row>
    <row r="188" spans="1:7" ht="18.75" customHeight="1" x14ac:dyDescent="0.25">
      <c r="A188" s="158" t="s">
        <v>378</v>
      </c>
      <c r="B188" s="78">
        <v>4</v>
      </c>
      <c r="C188" s="160">
        <v>5.1948051948051951E-2</v>
      </c>
      <c r="E188"/>
      <c r="F188"/>
      <c r="G188"/>
    </row>
    <row r="189" spans="1:7" ht="18.75" customHeight="1" x14ac:dyDescent="0.25">
      <c r="B189"/>
      <c r="C189"/>
      <c r="D189" s="157"/>
      <c r="E189"/>
      <c r="F189"/>
      <c r="G189"/>
    </row>
    <row r="190" spans="1:7" ht="18.75" customHeight="1" x14ac:dyDescent="0.25">
      <c r="B190"/>
      <c r="C190"/>
      <c r="D190" s="157"/>
      <c r="E190"/>
      <c r="F190"/>
      <c r="G190"/>
    </row>
    <row r="191" spans="1:7" ht="18.75" customHeight="1" x14ac:dyDescent="0.25">
      <c r="A191" s="9"/>
      <c r="B191" s="10"/>
      <c r="C191" s="10"/>
      <c r="D191" s="10"/>
      <c r="E191"/>
      <c r="F191"/>
      <c r="G191"/>
    </row>
    <row r="192" spans="1:7" ht="18.75" customHeight="1" x14ac:dyDescent="0.25">
      <c r="A192" s="11" t="s">
        <v>726</v>
      </c>
      <c r="B192" s="11" t="s">
        <v>433</v>
      </c>
      <c r="C192" s="11"/>
      <c r="D192" s="10"/>
      <c r="E192"/>
      <c r="F192"/>
      <c r="G192"/>
    </row>
    <row r="193" spans="1:7" ht="18.75" customHeight="1" x14ac:dyDescent="0.25">
      <c r="A193" s="4" t="s">
        <v>1</v>
      </c>
      <c r="B193" s="7" t="s">
        <v>723</v>
      </c>
      <c r="C193" s="7"/>
      <c r="D193" s="10"/>
      <c r="E193"/>
      <c r="F193"/>
      <c r="G193"/>
    </row>
    <row r="194" spans="1:7" ht="18.75" customHeight="1" x14ac:dyDescent="0.25">
      <c r="A194" s="9"/>
      <c r="B194" s="10"/>
      <c r="C194" s="10"/>
      <c r="D194" s="10"/>
      <c r="E194"/>
      <c r="F194"/>
      <c r="G194"/>
    </row>
    <row r="195" spans="1:7" ht="36" x14ac:dyDescent="0.25">
      <c r="A195" s="122" t="s">
        <v>724</v>
      </c>
      <c r="B195" s="75" t="s">
        <v>18</v>
      </c>
      <c r="C195" s="219" t="s">
        <v>341</v>
      </c>
      <c r="E195"/>
      <c r="F195"/>
      <c r="G195"/>
    </row>
    <row r="196" spans="1:7" ht="18.75" customHeight="1" x14ac:dyDescent="0.25">
      <c r="A196" s="124" t="s">
        <v>388</v>
      </c>
      <c r="B196" s="75">
        <v>56</v>
      </c>
      <c r="C196" s="77">
        <f>B196/76</f>
        <v>0.73684210526315785</v>
      </c>
      <c r="E196"/>
      <c r="F196"/>
      <c r="G196"/>
    </row>
    <row r="197" spans="1:7" ht="18.75" customHeight="1" x14ac:dyDescent="0.25">
      <c r="A197" s="124" t="s">
        <v>389</v>
      </c>
      <c r="B197" s="75">
        <v>55</v>
      </c>
      <c r="C197" s="77">
        <f t="shared" ref="C197:C216" si="3">B197/76</f>
        <v>0.72368421052631582</v>
      </c>
      <c r="E197"/>
      <c r="F197"/>
      <c r="G197"/>
    </row>
    <row r="198" spans="1:7" ht="18.75" customHeight="1" x14ac:dyDescent="0.25">
      <c r="A198" s="124" t="s">
        <v>390</v>
      </c>
      <c r="B198" s="75">
        <v>46</v>
      </c>
      <c r="C198" s="77">
        <f t="shared" si="3"/>
        <v>0.60526315789473684</v>
      </c>
      <c r="E198"/>
      <c r="F198"/>
      <c r="G198"/>
    </row>
    <row r="199" spans="1:7" ht="18.75" customHeight="1" x14ac:dyDescent="0.25">
      <c r="A199" s="124" t="s">
        <v>391</v>
      </c>
      <c r="B199" s="75">
        <v>38</v>
      </c>
      <c r="C199" s="77">
        <f t="shared" si="3"/>
        <v>0.5</v>
      </c>
    </row>
    <row r="200" spans="1:7" ht="36" x14ac:dyDescent="0.25">
      <c r="A200" s="124" t="s">
        <v>392</v>
      </c>
      <c r="B200" s="75">
        <v>36</v>
      </c>
      <c r="C200" s="77">
        <f t="shared" si="3"/>
        <v>0.47368421052631576</v>
      </c>
    </row>
    <row r="201" spans="1:7" ht="18.75" customHeight="1" x14ac:dyDescent="0.25">
      <c r="A201" s="124" t="s">
        <v>50</v>
      </c>
      <c r="B201" s="75">
        <v>35</v>
      </c>
      <c r="C201" s="77">
        <f t="shared" si="3"/>
        <v>0.46052631578947367</v>
      </c>
    </row>
    <row r="202" spans="1:7" ht="18" x14ac:dyDescent="0.25">
      <c r="A202" s="124" t="s">
        <v>393</v>
      </c>
      <c r="B202" s="75">
        <v>35</v>
      </c>
      <c r="C202" s="77">
        <f t="shared" si="3"/>
        <v>0.46052631578947367</v>
      </c>
    </row>
    <row r="203" spans="1:7" ht="18.75" customHeight="1" x14ac:dyDescent="0.25">
      <c r="A203" s="124" t="s">
        <v>394</v>
      </c>
      <c r="B203" s="75">
        <v>32</v>
      </c>
      <c r="C203" s="77">
        <f t="shared" si="3"/>
        <v>0.42105263157894735</v>
      </c>
    </row>
    <row r="204" spans="1:7" ht="18.75" customHeight="1" x14ac:dyDescent="0.25">
      <c r="A204" s="124" t="s">
        <v>395</v>
      </c>
      <c r="B204" s="75">
        <v>30</v>
      </c>
      <c r="C204" s="77">
        <f t="shared" si="3"/>
        <v>0.39473684210526316</v>
      </c>
    </row>
    <row r="205" spans="1:7" ht="18.75" customHeight="1" x14ac:dyDescent="0.25">
      <c r="A205" s="124" t="s">
        <v>396</v>
      </c>
      <c r="B205" s="75">
        <v>30</v>
      </c>
      <c r="C205" s="77">
        <f t="shared" si="3"/>
        <v>0.39473684210526316</v>
      </c>
    </row>
    <row r="206" spans="1:7" ht="18.75" customHeight="1" x14ac:dyDescent="0.25">
      <c r="A206" s="73" t="s">
        <v>397</v>
      </c>
      <c r="B206" s="75">
        <v>30</v>
      </c>
      <c r="C206" s="77">
        <f t="shared" si="3"/>
        <v>0.39473684210526316</v>
      </c>
    </row>
    <row r="207" spans="1:7" ht="18.75" customHeight="1" x14ac:dyDescent="0.25">
      <c r="A207" s="73" t="s">
        <v>398</v>
      </c>
      <c r="B207" s="75">
        <v>30</v>
      </c>
      <c r="C207" s="77">
        <f t="shared" si="3"/>
        <v>0.39473684210526316</v>
      </c>
    </row>
    <row r="208" spans="1:7" ht="18.75" customHeight="1" x14ac:dyDescent="0.25">
      <c r="A208" s="73" t="s">
        <v>399</v>
      </c>
      <c r="B208" s="71">
        <v>28</v>
      </c>
      <c r="C208" s="81">
        <f t="shared" si="3"/>
        <v>0.36842105263157893</v>
      </c>
    </row>
    <row r="209" spans="1:3" ht="18.75" customHeight="1" x14ac:dyDescent="0.25">
      <c r="A209" s="73" t="s">
        <v>400</v>
      </c>
      <c r="B209" s="71">
        <v>27</v>
      </c>
      <c r="C209" s="81">
        <f t="shared" si="3"/>
        <v>0.35526315789473684</v>
      </c>
    </row>
    <row r="210" spans="1:3" ht="18.75" customHeight="1" x14ac:dyDescent="0.25">
      <c r="A210" s="73" t="s">
        <v>401</v>
      </c>
      <c r="B210" s="71">
        <v>27</v>
      </c>
      <c r="C210" s="81">
        <f t="shared" si="3"/>
        <v>0.35526315789473684</v>
      </c>
    </row>
    <row r="211" spans="1:3" ht="18.75" customHeight="1" x14ac:dyDescent="0.25">
      <c r="A211" s="73" t="s">
        <v>402</v>
      </c>
      <c r="B211" s="71">
        <v>26</v>
      </c>
      <c r="C211" s="81">
        <f t="shared" si="3"/>
        <v>0.34210526315789475</v>
      </c>
    </row>
    <row r="212" spans="1:3" ht="18.75" customHeight="1" x14ac:dyDescent="0.25">
      <c r="A212" s="73" t="s">
        <v>403</v>
      </c>
      <c r="B212" s="71">
        <v>25</v>
      </c>
      <c r="C212" s="81">
        <f t="shared" si="3"/>
        <v>0.32894736842105265</v>
      </c>
    </row>
    <row r="213" spans="1:3" ht="18.75" customHeight="1" x14ac:dyDescent="0.25">
      <c r="A213" s="73" t="s">
        <v>404</v>
      </c>
      <c r="B213" s="71">
        <v>22</v>
      </c>
      <c r="C213" s="81">
        <f t="shared" si="3"/>
        <v>0.28947368421052633</v>
      </c>
    </row>
    <row r="214" spans="1:3" ht="18.75" customHeight="1" x14ac:dyDescent="0.25">
      <c r="A214" s="73" t="s">
        <v>41</v>
      </c>
      <c r="B214" s="71">
        <v>9</v>
      </c>
      <c r="C214" s="81">
        <f t="shared" si="3"/>
        <v>0.11842105263157894</v>
      </c>
    </row>
    <row r="215" spans="1:3" ht="18.75" customHeight="1" x14ac:dyDescent="0.25">
      <c r="A215" s="73" t="s">
        <v>405</v>
      </c>
      <c r="B215" s="71">
        <v>6</v>
      </c>
      <c r="C215" s="81">
        <f t="shared" si="3"/>
        <v>7.8947368421052627E-2</v>
      </c>
    </row>
    <row r="216" spans="1:3" ht="18.75" customHeight="1" x14ac:dyDescent="0.25">
      <c r="A216" s="73" t="s">
        <v>406</v>
      </c>
      <c r="B216" s="71">
        <v>5</v>
      </c>
      <c r="C216" s="81">
        <f t="shared" si="3"/>
        <v>6.5789473684210523E-2</v>
      </c>
    </row>
    <row r="220" spans="1:3" ht="18.75" customHeight="1" x14ac:dyDescent="0.25">
      <c r="A220" s="11" t="s">
        <v>850</v>
      </c>
      <c r="B220" s="11" t="s">
        <v>851</v>
      </c>
    </row>
    <row r="221" spans="1:3" ht="18.75" customHeight="1" x14ac:dyDescent="0.25">
      <c r="A221" s="4" t="s">
        <v>1</v>
      </c>
      <c r="B221" s="7" t="s">
        <v>849</v>
      </c>
    </row>
    <row r="222" spans="1:3" ht="18.75" customHeight="1" x14ac:dyDescent="0.25">
      <c r="A222" s="9"/>
      <c r="B222" s="10"/>
    </row>
    <row r="224" spans="1:3" ht="18.75" customHeight="1" x14ac:dyDescent="0.25">
      <c r="A224" s="122" t="s">
        <v>858</v>
      </c>
      <c r="B224" s="75" t="s">
        <v>897</v>
      </c>
    </row>
    <row r="225" spans="1:2" ht="18" x14ac:dyDescent="0.25">
      <c r="A225" s="82" t="s">
        <v>852</v>
      </c>
      <c r="B225" s="220">
        <v>3.293737210861402E-2</v>
      </c>
    </row>
    <row r="226" spans="1:2" ht="18" x14ac:dyDescent="0.25">
      <c r="A226" s="82" t="s">
        <v>853</v>
      </c>
      <c r="B226" s="220">
        <v>0.10510864469089172</v>
      </c>
    </row>
    <row r="227" spans="1:2" ht="18" x14ac:dyDescent="0.25">
      <c r="A227" s="82" t="s">
        <v>854</v>
      </c>
      <c r="B227" s="220">
        <v>0.21050210103364722</v>
      </c>
    </row>
    <row r="228" spans="1:2" ht="18" x14ac:dyDescent="0.25">
      <c r="A228" s="82" t="s">
        <v>855</v>
      </c>
      <c r="B228" s="220">
        <v>0.25456465443583193</v>
      </c>
    </row>
    <row r="229" spans="1:2" ht="18" x14ac:dyDescent="0.25">
      <c r="A229" s="82" t="s">
        <v>856</v>
      </c>
      <c r="B229" s="220">
        <v>0.37359839804400119</v>
      </c>
    </row>
    <row r="230" spans="1:2" ht="18" x14ac:dyDescent="0.25">
      <c r="A230" s="82" t="s">
        <v>857</v>
      </c>
      <c r="B230" s="220">
        <v>2.3288829687013905E-2</v>
      </c>
    </row>
    <row r="231" spans="1:2" ht="18" x14ac:dyDescent="0.25"/>
    <row r="232" spans="1:2" ht="18" x14ac:dyDescent="0.25"/>
  </sheetData>
  <mergeCells count="3">
    <mergeCell ref="A1:H1"/>
    <mergeCell ref="E175:G175"/>
    <mergeCell ref="A38:A42"/>
  </mergeCells>
  <pageMargins left="0.23622047244094491" right="0.23622047244094491" top="0.74803149606299213" bottom="0.74803149606299213" header="0.31496062992125984" footer="0.31496062992125984"/>
  <pageSetup paperSize="9" scale="53" fitToHeight="0" orientation="landscape" r:id="rId1"/>
  <headerFooter>
    <oddHeader>&amp;C2013 Victorian AOD Workforce Survey aggregate  report</oddHeader>
    <oddFooter>&amp;A</oddFooter>
  </headerFooter>
  <rowBreaks count="5" manualBreakCount="5">
    <brk id="44" max="7" man="1"/>
    <brk id="77" max="16383" man="1"/>
    <brk id="115" max="16383" man="1"/>
    <brk id="155" max="16383" man="1"/>
    <brk id="191" max="16383" man="1"/>
  </rowBreaks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Introduction</vt:lpstr>
      <vt:lpstr>Index</vt:lpstr>
      <vt:lpstr>1. Workforce size</vt:lpstr>
      <vt:lpstr>2. Demographics and workplace</vt:lpstr>
      <vt:lpstr>3. AOD Role</vt:lpstr>
      <vt:lpstr>4. Experience and qualification</vt:lpstr>
      <vt:lpstr>5. Skills and Training</vt:lpstr>
      <vt:lpstr>6. Skill shortage</vt:lpstr>
      <vt:lpstr>7. Staff retention</vt:lpstr>
      <vt:lpstr>8. Recruitment</vt:lpstr>
      <vt:lpstr>9. Professional development</vt:lpstr>
      <vt:lpstr>Index!OLE_LINK2</vt:lpstr>
      <vt:lpstr>'5. Skills and Training'!Print_Area</vt:lpstr>
    </vt:vector>
  </TitlesOfParts>
  <Company>Department of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hzha2102</dc:creator>
  <cp:lastModifiedBy>Sandra Kiem</cp:lastModifiedBy>
  <cp:lastPrinted>2015-01-22T21:26:29Z</cp:lastPrinted>
  <dcterms:created xsi:type="dcterms:W3CDTF">2013-03-18T00:19:53Z</dcterms:created>
  <dcterms:modified xsi:type="dcterms:W3CDTF">2015-03-16T03:54:39Z</dcterms:modified>
</cp:coreProperties>
</file>